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ранспортная упаковка" sheetId="1" state="visible" r:id="rId3"/>
  </sheets>
  <definedNames>
    <definedName function="false" hidden="false" localSheetId="0" name="_xlnm.Print_Area" vbProcedure="false">'транспортная упаковка'!$B$15:$P$490</definedName>
    <definedName function="false" hidden="false" localSheetId="0" name="_xlnm.Print_Titles" vbProcedure="false">'транспортная упаковка'!$2:$14</definedName>
    <definedName function="false" hidden="false" name="Excel_BuiltIn_Print_Area_1" vbProcedure="false">'транспортная упаковка'!$C$13:$O$14</definedName>
    <definedName function="false" hidden="false" name="Excel_BuiltIn_Print_Titles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<sst xmlns="http://schemas.openxmlformats.org/spreadsheetml/2006/main" count="352" uniqueCount="310">
  <si>
    <t xml:space="preserve">транспортная упаковка</t>
  </si>
  <si>
    <t xml:space="preserve">вместимость коробок</t>
  </si>
  <si>
    <t xml:space="preserve">название</t>
  </si>
  <si>
    <t xml:space="preserve">аналоги</t>
  </si>
  <si>
    <t xml:space="preserve">масса</t>
  </si>
  <si>
    <t xml:space="preserve">малая-145мм</t>
  </si>
  <si>
    <t xml:space="preserve">мал165мм</t>
  </si>
  <si>
    <t xml:space="preserve">мал190мм</t>
  </si>
  <si>
    <t xml:space="preserve">средняя</t>
  </si>
  <si>
    <t xml:space="preserve">большая</t>
  </si>
  <si>
    <t xml:space="preserve">мини</t>
  </si>
  <si>
    <t xml:space="preserve">граммы</t>
  </si>
  <si>
    <t xml:space="preserve">295×170×145 мм</t>
  </si>
  <si>
    <t xml:space="preserve">295×170×165</t>
  </si>
  <si>
    <t xml:space="preserve">295×170×190</t>
  </si>
  <si>
    <t xml:space="preserve">415×345×160</t>
  </si>
  <si>
    <t xml:space="preserve">415×335×310</t>
  </si>
  <si>
    <t xml:space="preserve">210×180×95</t>
  </si>
  <si>
    <t xml:space="preserve">датчики автомобильные</t>
  </si>
  <si>
    <t xml:space="preserve">ММ 111 В</t>
  </si>
  <si>
    <t xml:space="preserve">ММ 111 Д</t>
  </si>
  <si>
    <t xml:space="preserve">6002.3829,</t>
  </si>
  <si>
    <t xml:space="preserve">6012.3829</t>
  </si>
  <si>
    <t xml:space="preserve">ДАДМ-03</t>
  </si>
  <si>
    <t xml:space="preserve">3702.3829, ММ106</t>
  </si>
  <si>
    <t xml:space="preserve">3602.3829, ММ126</t>
  </si>
  <si>
    <t xml:space="preserve">ММ 120 Д</t>
  </si>
  <si>
    <t xml:space="preserve">1118.3829 </t>
  </si>
  <si>
    <t xml:space="preserve">1118.3829</t>
  </si>
  <si>
    <t xml:space="preserve">FAE 12703, VERNET OS3603,</t>
  </si>
  <si>
    <t xml:space="preserve">ASAM 32017, STELLOX 06-08022-SX</t>
  </si>
  <si>
    <t xml:space="preserve">ММ 124 Д (⬡ 22)</t>
  </si>
  <si>
    <t xml:space="preserve">ММ 124 Д (⬡ 27),</t>
  </si>
  <si>
    <t xml:space="preserve">ВП124</t>
  </si>
  <si>
    <t xml:space="preserve">ДАДВ</t>
  </si>
  <si>
    <t xml:space="preserve">ММ 125 Д (⬡ 22)</t>
  </si>
  <si>
    <t xml:space="preserve">ММ 125 Д (⬡ 27)</t>
  </si>
  <si>
    <t xml:space="preserve">ММ 125 Д (⬡ 27),</t>
  </si>
  <si>
    <t xml:space="preserve">ВП125</t>
  </si>
  <si>
    <t xml:space="preserve">12.220</t>
  </si>
  <si>
    <t xml:space="preserve">в блистерной упаковке</t>
  </si>
  <si>
    <t xml:space="preserve">3408606, 2897690,</t>
  </si>
  <si>
    <t xml:space="preserve">3054615</t>
  </si>
  <si>
    <t xml:space="preserve">3408607</t>
  </si>
  <si>
    <t xml:space="preserve">2897709,</t>
  </si>
  <si>
    <t xml:space="preserve">3036439</t>
  </si>
  <si>
    <t xml:space="preserve">ТМ 106</t>
  </si>
  <si>
    <t xml:space="preserve">27.3828</t>
  </si>
  <si>
    <t xml:space="preserve">191.3847</t>
  </si>
  <si>
    <t xml:space="preserve">51.3843, 343.3843</t>
  </si>
  <si>
    <t xml:space="preserve">356.3843, 35172.04, 41.3843</t>
  </si>
  <si>
    <t xml:space="preserve">ДУ-1</t>
  </si>
  <si>
    <t xml:space="preserve">ДУ-3</t>
  </si>
  <si>
    <t xml:space="preserve">ДУ-2</t>
  </si>
  <si>
    <t xml:space="preserve">21083-3839210-03</t>
  </si>
  <si>
    <t xml:space="preserve">21.3847</t>
  </si>
  <si>
    <t xml:space="preserve">датчики оборотов и скорости</t>
  </si>
  <si>
    <t xml:space="preserve">СТРМ.453624.005</t>
  </si>
  <si>
    <t xml:space="preserve">СТРМ.453624.005-01</t>
  </si>
  <si>
    <t xml:space="preserve">3039524</t>
  </si>
  <si>
    <t xml:space="preserve">ПД8093-7</t>
  </si>
  <si>
    <t xml:space="preserve">(A63R42.3843010), 342.3843, A63R42.3843010-02</t>
  </si>
  <si>
    <t xml:space="preserve">0501210855</t>
  </si>
  <si>
    <t xml:space="preserve">0501210856</t>
  </si>
  <si>
    <t xml:space="preserve">0501210857</t>
  </si>
  <si>
    <t xml:space="preserve">0501210859</t>
  </si>
  <si>
    <t xml:space="preserve">выключатели автомобильные</t>
  </si>
  <si>
    <t xml:space="preserve">ВК 412</t>
  </si>
  <si>
    <t xml:space="preserve">15.3720</t>
  </si>
  <si>
    <t xml:space="preserve">20.3720-01</t>
  </si>
  <si>
    <t xml:space="preserve">211.3720</t>
  </si>
  <si>
    <t xml:space="preserve">21.3720</t>
  </si>
  <si>
    <t xml:space="preserve">21.3720-01</t>
  </si>
  <si>
    <t xml:space="preserve">ВК-418, 12-3, 12-5, ВЗХ</t>
  </si>
  <si>
    <t xml:space="preserve">ВК 415, ВК 12-2</t>
  </si>
  <si>
    <t xml:space="preserve">13.3720</t>
  </si>
  <si>
    <t xml:space="preserve">55.3710, ВЗХ-4</t>
  </si>
  <si>
    <t xml:space="preserve">ВЗХ-7</t>
  </si>
  <si>
    <t xml:space="preserve">ВЗХ-9</t>
  </si>
  <si>
    <t xml:space="preserve">3163-3710070</t>
  </si>
  <si>
    <t xml:space="preserve">ВК 12-21</t>
  </si>
  <si>
    <t xml:space="preserve">ВК 12-41</t>
  </si>
  <si>
    <t xml:space="preserve">ВК 12-51,</t>
  </si>
  <si>
    <t xml:space="preserve">ЦИКС.642241.018</t>
  </si>
  <si>
    <t xml:space="preserve">ВК 12-71,</t>
  </si>
  <si>
    <t xml:space="preserve">ЦИКС.642241.026</t>
  </si>
  <si>
    <t xml:space="preserve">ВК 12-31, В14.3710,</t>
  </si>
  <si>
    <t xml:space="preserve">3302.371601</t>
  </si>
  <si>
    <t xml:space="preserve">0501.331.660</t>
  </si>
  <si>
    <t xml:space="preserve">ВК24-1 (⬡ 27)</t>
  </si>
  <si>
    <t xml:space="preserve">ВК 403, ВЗХ-2</t>
  </si>
  <si>
    <t xml:space="preserve">с винтом</t>
  </si>
  <si>
    <t xml:space="preserve">с болтом</t>
  </si>
  <si>
    <t xml:space="preserve">ВК 418 Д (⬡ 27)</t>
  </si>
  <si>
    <t xml:space="preserve">0501.219.858</t>
  </si>
  <si>
    <t xml:space="preserve">ВК24-5</t>
  </si>
  <si>
    <t xml:space="preserve">(ЦИКС.642241.021)</t>
  </si>
  <si>
    <t xml:space="preserve">ВК24-07</t>
  </si>
  <si>
    <t xml:space="preserve">ВК 12-4,</t>
  </si>
  <si>
    <t xml:space="preserve">15.3710</t>
  </si>
  <si>
    <t xml:space="preserve">ВЗХ-5 (ВЭЛКОНТ)</t>
  </si>
  <si>
    <t xml:space="preserve">датчики и выключатели для других отраслей</t>
  </si>
  <si>
    <t xml:space="preserve">Применяемость: сельхозтехника, железнодорожный транспорт, речной и морской флот, пневматические и гидравлические системы, снегоходы, садовая техника и т. д. Диапазон срабатывания у датчиков давления от 0,1 до 7,0 кг/см² по требованию заказчика.</t>
  </si>
  <si>
    <t xml:space="preserve">6032.3829-01 СЗ</t>
  </si>
  <si>
    <t xml:space="preserve">1352.3768-06 СЗ</t>
  </si>
  <si>
    <t xml:space="preserve">автоэлектроника — регуляторы напряжения</t>
  </si>
  <si>
    <t xml:space="preserve">Я112А с ЩУ</t>
  </si>
  <si>
    <t xml:space="preserve">41.3702 с ЩУ</t>
  </si>
  <si>
    <t xml:space="preserve">6015.3702А с ЩУ,</t>
  </si>
  <si>
    <t xml:space="preserve">провод с клеммой Ø 6мм</t>
  </si>
  <si>
    <t xml:space="preserve">Я112В1с ЩУ</t>
  </si>
  <si>
    <t xml:space="preserve">провод с разъёмом</t>
  </si>
  <si>
    <t xml:space="preserve">Я120М12И с ЩУ,</t>
  </si>
  <si>
    <t xml:space="preserve">Я120М12 с ЩУ</t>
  </si>
  <si>
    <t xml:space="preserve">Я120, 412.3702</t>
  </si>
  <si>
    <t xml:space="preserve">с увеличенным ресурсом в блистерной упаковке</t>
  </si>
  <si>
    <t xml:space="preserve">Я120М12,</t>
  </si>
  <si>
    <t xml:space="preserve">Я120М12И</t>
  </si>
  <si>
    <t xml:space="preserve">Я120М1И2</t>
  </si>
  <si>
    <t xml:space="preserve">121.3702М</t>
  </si>
  <si>
    <t xml:space="preserve">Я212А11</t>
  </si>
  <si>
    <t xml:space="preserve">в картонной коробке</t>
  </si>
  <si>
    <t xml:space="preserve">Я112А, 41.3702</t>
  </si>
  <si>
    <t xml:space="preserve">Я112А12</t>
  </si>
  <si>
    <t xml:space="preserve">Я112Б</t>
  </si>
  <si>
    <t xml:space="preserve">Я112Б1И2</t>
  </si>
  <si>
    <t xml:space="preserve">Я112В, 411.3702</t>
  </si>
  <si>
    <t xml:space="preserve">Я112В1,</t>
  </si>
  <si>
    <t xml:space="preserve">6015.3702A</t>
  </si>
  <si>
    <t xml:space="preserve">с увеличенным ресурсом</t>
  </si>
  <si>
    <t xml:space="preserve">РР-362 Б1</t>
  </si>
  <si>
    <t xml:space="preserve">44.3702</t>
  </si>
  <si>
    <t xml:space="preserve">РР-356</t>
  </si>
  <si>
    <t xml:space="preserve">13.3702-01</t>
  </si>
  <si>
    <t xml:space="preserve">Я212А11Е, 36.3702</t>
  </si>
  <si>
    <t xml:space="preserve">611.3702-03</t>
  </si>
  <si>
    <t xml:space="preserve">55.3702П </t>
  </si>
  <si>
    <t xml:space="preserve">8454.3702, 849.3702</t>
  </si>
  <si>
    <t xml:space="preserve">5102.3771060</t>
  </si>
  <si>
    <t xml:space="preserve">612.3702-06</t>
  </si>
  <si>
    <t xml:space="preserve">207.3702, 66.3702,</t>
  </si>
  <si>
    <t xml:space="preserve">4202.3702</t>
  </si>
  <si>
    <t xml:space="preserve">207.3702-10</t>
  </si>
  <si>
    <t xml:space="preserve">7302.3702</t>
  </si>
  <si>
    <t xml:space="preserve">Я112Т с узлом З-Л,</t>
  </si>
  <si>
    <t xml:space="preserve">68.3702</t>
  </si>
  <si>
    <t xml:space="preserve">7312.3702</t>
  </si>
  <si>
    <t xml:space="preserve">7342.3702</t>
  </si>
  <si>
    <t xml:space="preserve">7332.3702</t>
  </si>
  <si>
    <t xml:space="preserve">7352.3702</t>
  </si>
  <si>
    <t xml:space="preserve">811.3702-06</t>
  </si>
  <si>
    <t xml:space="preserve">7322.3702</t>
  </si>
  <si>
    <t xml:space="preserve">811.3702-08</t>
  </si>
  <si>
    <t xml:space="preserve">автоэлектроника — реле поворотов</t>
  </si>
  <si>
    <t xml:space="preserve">РС 951 А</t>
  </si>
  <si>
    <t xml:space="preserve">РП 3402.3777-22</t>
  </si>
  <si>
    <t xml:space="preserve">РПП-3.1-6К</t>
  </si>
  <si>
    <t xml:space="preserve">РПП-3.1-6К-01, ПЭУП-8 </t>
  </si>
  <si>
    <t xml:space="preserve">ПЭУП-6М</t>
  </si>
  <si>
    <t xml:space="preserve">ПЭУП-7, ПЭУП-7М</t>
  </si>
  <si>
    <t xml:space="preserve">РП 24-01 Д</t>
  </si>
  <si>
    <t xml:space="preserve">493.3747, 495.3747 </t>
  </si>
  <si>
    <t xml:space="preserve">ЭРП 1</t>
  </si>
  <si>
    <t xml:space="preserve">РС 950</t>
  </si>
  <si>
    <t xml:space="preserve">РС 950 П</t>
  </si>
  <si>
    <t xml:space="preserve">РС 950 Н</t>
  </si>
  <si>
    <t xml:space="preserve">РС 950 К</t>
  </si>
  <si>
    <t xml:space="preserve">РС 950 С </t>
  </si>
  <si>
    <t xml:space="preserve">712.3777-06,</t>
  </si>
  <si>
    <t xml:space="preserve">495.3747-03</t>
  </si>
  <si>
    <t xml:space="preserve">642.3747</t>
  </si>
  <si>
    <t xml:space="preserve">642.3747-01</t>
  </si>
  <si>
    <t xml:space="preserve">642.3747-02</t>
  </si>
  <si>
    <t xml:space="preserve">23.3747, 711.3777,</t>
  </si>
  <si>
    <t xml:space="preserve">32.3777</t>
  </si>
  <si>
    <t xml:space="preserve">87.3777</t>
  </si>
  <si>
    <t xml:space="preserve">642.3747-03</t>
  </si>
  <si>
    <t xml:space="preserve">9112.3777</t>
  </si>
  <si>
    <t xml:space="preserve">493.3747, 495.3747</t>
  </si>
  <si>
    <t xml:space="preserve">Hella 4AZ 001 879-021</t>
  </si>
  <si>
    <t xml:space="preserve">712.3777-07</t>
  </si>
  <si>
    <t xml:space="preserve">495.3747-10</t>
  </si>
  <si>
    <t xml:space="preserve">VD-SGD202 HIGER</t>
  </si>
  <si>
    <t xml:space="preserve">автоэлектроника — другие реле</t>
  </si>
  <si>
    <t xml:space="preserve">526.3747</t>
  </si>
  <si>
    <t xml:space="preserve">54.3777, 411.3777</t>
  </si>
  <si>
    <t xml:space="preserve">723.3777-01</t>
  </si>
  <si>
    <t xml:space="preserve">526.3747-04</t>
  </si>
  <si>
    <t xml:space="preserve">528.3747</t>
  </si>
  <si>
    <t xml:space="preserve">721.3777-01,</t>
  </si>
  <si>
    <t xml:space="preserve">413.377</t>
  </si>
  <si>
    <t xml:space="preserve">РСО 502.3747</t>
  </si>
  <si>
    <t xml:space="preserve">РСО 3502.3777</t>
  </si>
  <si>
    <t xml:space="preserve">461.3747</t>
  </si>
  <si>
    <t xml:space="preserve">46.3747</t>
  </si>
  <si>
    <t xml:space="preserve">РЭС-1М</t>
  </si>
  <si>
    <t xml:space="preserve">JD269A</t>
  </si>
  <si>
    <r>
      <rPr>
        <sz val="10"/>
        <color rgb="FF000000"/>
        <rFont val="Arial"/>
        <family val="2"/>
      </rPr>
      <t xml:space="preserve">526.3747-06</t>
    </r>
    <r>
      <rPr>
        <sz val="10"/>
        <color rgb="FF000000"/>
        <rFont val="Liberation Sans Narrow"/>
        <family val="2"/>
      </rPr>
      <t xml:space="preserve">, AEV2262</t>
    </r>
  </si>
  <si>
    <t xml:space="preserve">22.3777</t>
  </si>
  <si>
    <t xml:space="preserve">22.3777-01</t>
  </si>
  <si>
    <t xml:space="preserve">23.3777</t>
  </si>
  <si>
    <t xml:space="preserve">454.3747, 726.3777</t>
  </si>
  <si>
    <t xml:space="preserve">456.3747-02</t>
  </si>
  <si>
    <t xml:space="preserve">361.3787</t>
  </si>
  <si>
    <t xml:space="preserve">COBO 18.0124.0000</t>
  </si>
  <si>
    <t xml:space="preserve">451.3777</t>
  </si>
  <si>
    <t xml:space="preserve">392.3747, 523.3747</t>
  </si>
  <si>
    <t xml:space="preserve">РС 711-01</t>
  </si>
  <si>
    <t xml:space="preserve">4412.3777</t>
  </si>
  <si>
    <t xml:space="preserve">4452.3747 </t>
  </si>
  <si>
    <t xml:space="preserve">733.3747</t>
  </si>
  <si>
    <t xml:space="preserve">733.3747-10</t>
  </si>
  <si>
    <t xml:space="preserve">РСО 52.3761</t>
  </si>
  <si>
    <t xml:space="preserve">89.3777</t>
  </si>
  <si>
    <t xml:space="preserve">РС 514</t>
  </si>
  <si>
    <t xml:space="preserve">РС 431</t>
  </si>
  <si>
    <t xml:space="preserve">РБС 2602.3747</t>
  </si>
  <si>
    <t xml:space="preserve">РСЭ 8522.3777</t>
  </si>
  <si>
    <t xml:space="preserve">РБС 2612.3747</t>
  </si>
  <si>
    <t xml:space="preserve">7302.3777-01</t>
  </si>
  <si>
    <t xml:space="preserve">РБС 111.3733.000</t>
  </si>
  <si>
    <t xml:space="preserve">реле стартера</t>
  </si>
  <si>
    <t xml:space="preserve">738.3747</t>
  </si>
  <si>
    <t xml:space="preserve">738.3747-20</t>
  </si>
  <si>
    <t xml:space="preserve">738.3747-30</t>
  </si>
  <si>
    <t xml:space="preserve">71.3747</t>
  </si>
  <si>
    <t xml:space="preserve">71.3747-01</t>
  </si>
  <si>
    <t xml:space="preserve">71.3747-02</t>
  </si>
  <si>
    <t xml:space="preserve">71.3747-03</t>
  </si>
  <si>
    <t xml:space="preserve">71.3747-11</t>
  </si>
  <si>
    <t xml:space="preserve">71.3747-21</t>
  </si>
  <si>
    <t xml:space="preserve">YL368-A</t>
  </si>
  <si>
    <t xml:space="preserve">71.3747-111</t>
  </si>
  <si>
    <t xml:space="preserve">732.3747</t>
  </si>
  <si>
    <t xml:space="preserve">732.3747-10</t>
  </si>
  <si>
    <t xml:space="preserve">711.3747</t>
  </si>
  <si>
    <t xml:space="preserve">711.3747-01</t>
  </si>
  <si>
    <t xml:space="preserve">711.3747-02</t>
  </si>
  <si>
    <t xml:space="preserve">711.3747-11</t>
  </si>
  <si>
    <t xml:space="preserve">711.3747-111</t>
  </si>
  <si>
    <t xml:space="preserve">711.3747-131</t>
  </si>
  <si>
    <t xml:space="preserve">универсальные электромагнитные реле с плоскими выводами</t>
  </si>
  <si>
    <t xml:space="preserve">98.3747-011</t>
  </si>
  <si>
    <t xml:space="preserve">98.3747-111</t>
  </si>
  <si>
    <t xml:space="preserve">981.3747-01</t>
  </si>
  <si>
    <t xml:space="preserve">981.3747-11</t>
  </si>
  <si>
    <t xml:space="preserve">984.3747-10</t>
  </si>
  <si>
    <t xml:space="preserve">VF4-45H11-S05</t>
  </si>
  <si>
    <t xml:space="preserve">90.3747</t>
  </si>
  <si>
    <t xml:space="preserve">902.3747</t>
  </si>
  <si>
    <t xml:space="preserve">902.3747-РК</t>
  </si>
  <si>
    <t xml:space="preserve">90.3747-01</t>
  </si>
  <si>
    <t xml:space="preserve">902.3747-01</t>
  </si>
  <si>
    <t xml:space="preserve">904.3747</t>
  </si>
  <si>
    <t xml:space="preserve">906.3747</t>
  </si>
  <si>
    <t xml:space="preserve">90.3747-10</t>
  </si>
  <si>
    <t xml:space="preserve">902.3747-10</t>
  </si>
  <si>
    <t xml:space="preserve">90.3747-11</t>
  </si>
  <si>
    <t xml:space="preserve">902.3747-11</t>
  </si>
  <si>
    <t xml:space="preserve">904.3747-10</t>
  </si>
  <si>
    <t xml:space="preserve">906.3747-10</t>
  </si>
  <si>
    <t xml:space="preserve">901.3747</t>
  </si>
  <si>
    <t xml:space="preserve">901.3747 РК</t>
  </si>
  <si>
    <t xml:space="preserve">903.3747</t>
  </si>
  <si>
    <t xml:space="preserve">901.3747-01</t>
  </si>
  <si>
    <t xml:space="preserve">903.3747-01</t>
  </si>
  <si>
    <t xml:space="preserve">905.3747</t>
  </si>
  <si>
    <t xml:space="preserve">907.3747</t>
  </si>
  <si>
    <t xml:space="preserve">901.3747-10</t>
  </si>
  <si>
    <t xml:space="preserve">903.3747-10</t>
  </si>
  <si>
    <t xml:space="preserve">901.3747-11</t>
  </si>
  <si>
    <t xml:space="preserve">903.3747-11</t>
  </si>
  <si>
    <t xml:space="preserve">905.3747-10</t>
  </si>
  <si>
    <t xml:space="preserve">907.3747-10</t>
  </si>
  <si>
    <t xml:space="preserve">98.3777-21</t>
  </si>
  <si>
    <t xml:space="preserve">90.3747-21</t>
  </si>
  <si>
    <t xml:space="preserve">981.3777-21</t>
  </si>
  <si>
    <t xml:space="preserve">901.3747-21</t>
  </si>
  <si>
    <t xml:space="preserve">Посмотреть →</t>
  </si>
  <si>
    <t xml:space="preserve">982.3777-21</t>
  </si>
  <si>
    <t xml:space="preserve">902.3747-21</t>
  </si>
  <si>
    <t xml:space="preserve">983.3777-21</t>
  </si>
  <si>
    <t xml:space="preserve">903.3747-21</t>
  </si>
  <si>
    <t xml:space="preserve">универсальные электромагнитные реле для автомобилей китайского производства</t>
  </si>
  <si>
    <t xml:space="preserve">YL-368-A-24 </t>
  </si>
  <si>
    <t xml:space="preserve">YL-368-A-24-R </t>
  </si>
  <si>
    <t xml:space="preserve">YL-398-А-24</t>
  </si>
  <si>
    <t xml:space="preserve">YL-398-А-24-R</t>
  </si>
  <si>
    <t xml:space="preserve">YL-398-C-12-R</t>
  </si>
  <si>
    <t xml:space="preserve">YL-398-C-24</t>
  </si>
  <si>
    <t xml:space="preserve">YL-398-C-24-R</t>
  </si>
  <si>
    <t xml:space="preserve">YL-309-А-24-R</t>
  </si>
  <si>
    <t xml:space="preserve">YL-309-C-24</t>
  </si>
  <si>
    <t xml:space="preserve">YL-309-C-24-R</t>
  </si>
  <si>
    <t xml:space="preserve">YL-314-А-24</t>
  </si>
  <si>
    <t xml:space="preserve">YL-314-А-24-D</t>
  </si>
  <si>
    <t xml:space="preserve">YL-314-C-24</t>
  </si>
  <si>
    <t xml:space="preserve">YL-314-C-24-D</t>
  </si>
  <si>
    <t xml:space="preserve">YL-314-C-24-R</t>
  </si>
  <si>
    <t xml:space="preserve">YL-315-С-12</t>
  </si>
  <si>
    <t xml:space="preserve">YL-315-С-24</t>
  </si>
  <si>
    <t xml:space="preserve">универсальные электромагнитные реле для монтажа на печатную плату</t>
  </si>
  <si>
    <t xml:space="preserve">TRAW-12VDC</t>
  </si>
  <si>
    <t xml:space="preserve">TRAW-24VDC</t>
  </si>
  <si>
    <t xml:space="preserve">другая продукция</t>
  </si>
  <si>
    <t xml:space="preserve">разработка новой продукции</t>
  </si>
  <si>
    <t xml:space="preserve">Мы разрабатываем новые модели датчиков, регуляторов напряжения и реле по техническому заданию заказчика. Между началом проектирования и запуском серийного производства проходит от 10 дней до 2-х месяцев. Все технологические этапы на нашем предприятии проводятся исключительно в собственных цехах, поэтому нам удаётся избавиться от многих накладных издержек и быть полностью уверенными в качестве продукции.</t>
  </si>
  <si>
    <t xml:space="preserve">Если вы задумываетесь о замене поставщика или ищете аналог импортного компонента, будем рады обсудить вашу задачу и решить её.</t>
  </si>
  <si>
    <t xml:space="preserve">Версия от 10 марта 2025 года, правки от 9 апреля</t>
  </si>
  <si>
    <t xml:space="preserve">Ячейки с названиями продукции — ссылки на страницы с описанием и фотографией.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</si>
</sst>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\ [$руб.-419];[RED]\-#,##0.00\ [$руб.-419]"/>
    <numFmt numFmtId="166" formatCode="[$-419]0.00"/>
    <numFmt numFmtId="167" formatCode="General"/>
    <numFmt numFmtId="168" formatCode="#.00"/>
    <numFmt numFmtId="169" formatCode="0"/>
    <numFmt numFmtId="170" formatCode="0.0"/>
    <numFmt numFmtId="171" formatCode="[$-419]#,##0"/>
    <numFmt numFmtId="172" formatCode="[$-419]#,##0.00"/>
    <numFmt numFmtId="173" formatCode="[$-419]#,##0.00&quot; р.&quot;;\-#,##0.00&quot; р.&quot;"/>
    <numFmt numFmtId="174" formatCode="[$-419]#,##0.0"/>
    <numFmt numFmtId="175" formatCode="0.0&quot; кг&quot;"/>
  </numFmts>
  <fonts count="26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8080"/>
      <name val="Arial"/>
      <family val="2"/>
    </font>
    <font>
      <b val="true"/>
      <sz val="7"/>
      <color rgb="FF808080"/>
      <name val="Arial"/>
      <family val="2"/>
    </font>
    <font>
      <b val="true"/>
      <sz val="14"/>
      <name val="Arial"/>
      <family val="2"/>
    </font>
    <font>
      <sz val="10"/>
      <color rgb="FF666666"/>
      <name val="Arial"/>
      <family val="2"/>
    </font>
    <font>
      <b val="true"/>
      <sz val="10"/>
      <color rgb="FF000000"/>
      <name val="Arial"/>
      <family val="2"/>
    </font>
    <font>
      <u val="single"/>
      <sz val="10"/>
      <color rgb="FF0000CC"/>
      <name val="Arial"/>
      <family val="2"/>
    </font>
    <font>
      <sz val="7"/>
      <color rgb="FF808080"/>
      <name val="Arial"/>
      <family val="2"/>
    </font>
    <font>
      <i val="true"/>
      <sz val="10"/>
      <color rgb="FF808080"/>
      <name val="Arial"/>
      <family val="2"/>
    </font>
    <font>
      <b val="true"/>
      <sz val="16"/>
      <name val="Arial"/>
      <family val="2"/>
    </font>
    <font>
      <b val="true"/>
      <sz val="12.3"/>
      <name val="Arial"/>
      <family val="2"/>
    </font>
    <font>
      <b val="true"/>
      <sz val="18.5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sz val="10"/>
      <color rgb="FF808080"/>
      <name val="Arial"/>
      <family val="0"/>
    </font>
    <font>
      <sz val="10"/>
      <color rgb="FF000000"/>
      <name val="Liberation Sans Narrow"/>
      <family val="2"/>
    </font>
    <font>
      <sz val="10"/>
      <color rgb="FFB2B2B2"/>
      <name val="Arial"/>
      <family val="2"/>
    </font>
    <font>
      <sz val="10"/>
      <color rgb="FFCCCCCC"/>
      <name val="Arial"/>
      <family val="2"/>
    </font>
    <font>
      <b val="true"/>
      <u val="single"/>
      <sz val="10"/>
      <color rgb="FF0000CC"/>
      <name val="Arial"/>
      <family val="2"/>
    </font>
    <font>
      <sz val="10"/>
      <color rgb="FFDDDDDD"/>
      <name val="Arial"/>
      <family val="2"/>
    </font>
    <font>
      <sz val="10"/>
      <color rgb="FFEEEEEE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AFAB3"/>
        <bgColor rgb="FFFFFF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3333"/>
      </left>
      <right style="thin">
        <color rgb="FFFF3333"/>
      </right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/>
      <bottom style="thin"/>
      <diagonal/>
    </border>
  </borders>
  <cellStyleXfs count="48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0" applyFont="true" applyBorder="true" applyAlignment="false" applyProtection="false"/>
    <xf numFmtId="164" fontId="0" fillId="2" borderId="0" applyFont="true" applyBorder="true" applyAlignment="false" applyProtection="false"/>
    <xf numFmtId="164" fontId="0" fillId="2" borderId="1" applyFont="true" applyBorder="true" applyAlignment="false" applyProtection="false"/>
    <xf numFmtId="164" fontId="0" fillId="2" borderId="2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true" applyAlignment="true" applyProtection="false">
      <alignment horizontal="general" vertical="bottom" textRotation="0" wrapText="false" indent="0" shrinkToFit="false"/>
    </xf>
    <xf numFmtId="164" fontId="0" fillId="2" borderId="0" applyFont="true" applyBorder="true" applyAlignment="true" applyProtection="false">
      <alignment horizontal="general" vertical="center" textRotation="0" wrapText="false" indent="0" shrinkToFit="false"/>
    </xf>
    <xf numFmtId="164" fontId="0" fillId="2" borderId="2" applyFont="true" applyBorder="true" applyAlignment="true" applyProtection="false">
      <alignment horizontal="general" vertical="top" textRotation="0" wrapText="false" indent="0" shrinkToFit="false"/>
    </xf>
    <xf numFmtId="164" fontId="4" fillId="2" borderId="0" applyFont="true" applyBorder="true" applyAlignment="false" applyProtection="false"/>
    <xf numFmtId="164" fontId="4" fillId="2" borderId="0" applyFont="true" applyBorder="true" applyAlignment="true" applyProtection="false">
      <alignment horizontal="left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5" fillId="2" borderId="0" applyFont="true" applyBorder="true" applyAlignment="true" applyProtection="false">
      <alignment horizontal="general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6" fillId="2" borderId="3" applyFont="true" applyBorder="true" applyAlignment="true" applyProtection="false">
      <alignment horizontal="lef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top" textRotation="0" wrapText="false" indent="0" shrinkToFit="false"/>
    </xf>
    <xf numFmtId="164" fontId="0" fillId="2" borderId="0" applyFont="true" applyBorder="true" applyAlignment="true" applyProtection="false">
      <alignment horizontal="general" vertical="top" textRotation="0" wrapText="false" indent="0" shrinkToFit="false"/>
    </xf>
    <xf numFmtId="164" fontId="7" fillId="2" borderId="0" applyFont="true" applyBorder="true" applyAlignment="true" applyProtection="false">
      <alignment horizontal="right" vertical="top" textRotation="0" wrapText="false" indent="0" shrinkToFit="false"/>
    </xf>
    <xf numFmtId="164" fontId="0" fillId="2" borderId="0" applyFont="true" applyBorder="true" applyAlignment="false" applyProtection="false"/>
    <xf numFmtId="164" fontId="0" fillId="2" borderId="0" applyFont="true" applyBorder="true" applyAlignment="true" applyProtection="false">
      <alignment horizontal="right" vertical="bottom" textRotation="0" wrapText="false" indent="0" shrinkToFit="false"/>
    </xf>
    <xf numFmtId="164" fontId="8" fillId="2" borderId="0" applyFont="true" applyBorder="true" applyAlignment="false" applyProtection="false"/>
    <xf numFmtId="164" fontId="8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9" fillId="2" borderId="0" applyFont="true" applyBorder="true" applyAlignment="false" applyProtection="false"/>
    <xf numFmtId="164" fontId="9" fillId="2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applyFont="true" applyBorder="true" applyAlignment="false" applyProtection="false"/>
    <xf numFmtId="164" fontId="7" fillId="2" borderId="0" applyFont="true" applyBorder="true" applyAlignment="true" applyProtection="false">
      <alignment horizontal="right" vertical="bottom" textRotation="0" wrapText="false" indent="0" shrinkToFit="false"/>
    </xf>
    <xf numFmtId="164" fontId="8" fillId="2" borderId="0" applyFont="true" applyBorder="true" applyAlignment="true" applyProtection="false">
      <alignment horizontal="right" vertical="bottom" textRotation="0" wrapText="false" indent="0" shrinkToFit="false"/>
    </xf>
    <xf numFmtId="164" fontId="11" fillId="2" borderId="0" applyFont="true" applyBorder="true" applyAlignment="false" applyProtection="false"/>
  </cellStyleXfs>
  <cellXfs count="110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4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38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6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3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4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0" fillId="2" borderId="0" xfId="44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4" fillId="2" borderId="0" xfId="28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31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7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2" borderId="0" xfId="24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2" xfId="33" applyFont="true" applyBorder="false" applyAlignment="false" applyProtection="false">
      <alignment horizontal="right" vertical="center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2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18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2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2" borderId="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34" applyFont="true" applyBorder="false" applyAlignment="false" applyProtection="false">
      <alignment horizontal="right" vertical="top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7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8" fillId="2" borderId="0" xfId="23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2" fillId="2" borderId="0" xfId="43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23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3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9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9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9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2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column" xfId="21"/>
    <cellStyle name="product-row" xfId="22"/>
    <cellStyle name="product-row single-line" xfId="23"/>
    <cellStyle name="product-row double-line-1" xfId="24"/>
    <cellStyle name="product-row single-line_no-border" xfId="25"/>
    <cellStyle name="product-row double-line-2" xfId="26"/>
    <cellStyle name="new-item" xfId="27"/>
    <cellStyle name="new-item bullet single-line" xfId="28"/>
    <cellStyle name="new-item bullet" xfId="29"/>
    <cellStyle name="new-item title" xfId="30"/>
    <cellStyle name="new-item bullet double-line" xfId="31"/>
    <cellStyle name="product-category" xfId="32"/>
    <cellStyle name="product-row single-line modif" xfId="33"/>
    <cellStyle name="product-row double-line-2 modif" xfId="34"/>
    <cellStyle name="product-row double-line-2_no-border" xfId="35"/>
    <cellStyle name="product-row double-line-2 modif_no-border" xfId="36"/>
    <cellStyle name="header" xfId="37"/>
    <cellStyle name="header contacts" xfId="38"/>
    <cellStyle name="header table-column" xfId="39"/>
    <cellStyle name="header table-colum price" xfId="40"/>
    <cellStyle name="undeletable" xfId="41"/>
    <cellStyle name="hyperlink" xfId="42"/>
    <cellStyle name="hyperlink right+hidden" xfId="43"/>
    <cellStyle name="header table-column-subtitle" xfId="44"/>
    <cellStyle name="product-row double-line-2 modif_1" xfId="45"/>
    <cellStyle name="header table-colum right" xfId="46"/>
    <cellStyle name="Footnote" xfId="47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80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AFAB3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182520</xdr:colOff>
      <xdr:row>1</xdr:row>
      <xdr:rowOff>125640</xdr:rowOff>
    </xdr:from>
    <xdr:to>
      <xdr:col>14</xdr:col>
      <xdr:colOff>740880</xdr:colOff>
      <xdr:row>6</xdr:row>
      <xdr:rowOff>111600</xdr:rowOff>
    </xdr:to>
    <xdr:pic>
      <xdr:nvPicPr>
        <xdr:cNvPr id="0" name="ГОСТ Р ИСО/ТУ 16949:2009" descr=""/>
        <xdr:cNvPicPr/>
      </xdr:nvPicPr>
      <xdr:blipFill>
        <a:blip r:embed="rId1"/>
        <a:stretch/>
      </xdr:blipFill>
      <xdr:spPr>
        <a:xfrm>
          <a:off x="9496080" y="288360"/>
          <a:ext cx="558360" cy="616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208800</xdr:colOff>
      <xdr:row>0</xdr:row>
      <xdr:rowOff>0</xdr:rowOff>
    </xdr:from>
    <xdr:to>
      <xdr:col>7</xdr:col>
      <xdr:colOff>502920</xdr:colOff>
      <xdr:row>7</xdr:row>
      <xdr:rowOff>119160</xdr:rowOff>
    </xdr:to>
    <xdr:pic>
      <xdr:nvPicPr>
        <xdr:cNvPr id="1" name="логотип Пензенского завода Электромехизмерение (ЭМИ)" descr=""/>
        <xdr:cNvPicPr/>
      </xdr:nvPicPr>
      <xdr:blipFill>
        <a:blip r:embed="rId2"/>
        <a:stretch/>
      </xdr:blipFill>
      <xdr:spPr>
        <a:xfrm>
          <a:off x="208800" y="0"/>
          <a:ext cx="3054600" cy="1076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11</xdr:col>
      <xdr:colOff>21240</xdr:colOff>
      <xdr:row>487</xdr:row>
      <xdr:rowOff>97560</xdr:rowOff>
    </xdr:from>
    <xdr:to>
      <xdr:col>15</xdr:col>
      <xdr:colOff>31320</xdr:colOff>
      <xdr:row>487</xdr:row>
      <xdr:rowOff>97920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7066080" y="97229880"/>
          <a:ext cx="3035160" cy="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11</xdr:col>
      <xdr:colOff>24840</xdr:colOff>
      <xdr:row>487</xdr:row>
      <xdr:rowOff>32760</xdr:rowOff>
    </xdr:from>
    <xdr:to>
      <xdr:col>14</xdr:col>
      <xdr:colOff>671400</xdr:colOff>
      <xdr:row>487</xdr:row>
      <xdr:rowOff>763920</xdr:rowOff>
    </xdr:to>
    <xdr:pic>
      <xdr:nvPicPr>
        <xdr:cNvPr id="3" name="Image 2" descr=""/>
        <xdr:cNvPicPr/>
      </xdr:nvPicPr>
      <xdr:blipFill>
        <a:blip r:embed="rId4"/>
        <a:stretch/>
      </xdr:blipFill>
      <xdr:spPr>
        <a:xfrm>
          <a:off x="7069680" y="97165080"/>
          <a:ext cx="2915280" cy="731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J49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4" topLeftCell="A15" activePane="bottomLeft" state="frozen"/>
      <selection pane="topLeft" activeCell="A1" activeCellId="0" sqref="A1"/>
      <selection pane="bottom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.58"/>
    <col collapsed="false" customWidth="true" hidden="false" outlineLevel="0" max="2" min="2" style="1" width="1.53"/>
    <col collapsed="false" customWidth="true" hidden="false" outlineLevel="0" max="3" min="3" style="2" width="14.3"/>
    <col collapsed="false" customWidth="true" hidden="false" outlineLevel="0" max="5" min="4" style="1" width="3.58"/>
    <col collapsed="false" customWidth="true" hidden="false" outlineLevel="0" max="6" min="6" style="1" width="3.94"/>
    <col collapsed="false" customWidth="true" hidden="false" outlineLevel="0" max="7" min="7" style="1" width="8.67"/>
    <col collapsed="false" customWidth="true" hidden="false" outlineLevel="0" max="8" min="8" style="1" width="27.58"/>
    <col collapsed="false" customWidth="true" hidden="false" outlineLevel="0" max="9" min="9" style="3" width="5.11"/>
    <col collapsed="false" customWidth="true" hidden="false" outlineLevel="0" max="10" min="10" style="3" width="17.37"/>
    <col collapsed="false" customWidth="true" hidden="false" outlineLevel="0" max="15" min="11" style="1" width="10.73"/>
    <col collapsed="false" customWidth="true" hidden="false" outlineLevel="0" max="16" min="16" style="1" width="1.53"/>
    <col collapsed="false" customWidth="true" hidden="false" outlineLevel="0" max="27" min="17" style="1" width="9.14"/>
  </cols>
  <sheetData>
    <row r="1" customFormat="false" ht="12.8" hidden="false" customHeight="false" outlineLevel="0" collapsed="false">
      <c r="A1" s="4"/>
      <c r="B1" s="3"/>
      <c r="N1" s="5"/>
      <c r="O1" s="5"/>
    </row>
    <row r="2" customFormat="false" ht="12.8" hidden="false" customHeight="false" outlineLevel="0" collapsed="false">
      <c r="B2" s="3"/>
      <c r="N2" s="5"/>
      <c r="O2" s="5"/>
    </row>
    <row r="3" customFormat="false" ht="12" hidden="false" customHeight="true" outlineLevel="0" collapsed="false">
      <c r="B3" s="3"/>
      <c r="C3" s="6"/>
      <c r="D3" s="7"/>
      <c r="E3" s="8"/>
      <c r="F3" s="8"/>
      <c r="G3" s="9"/>
      <c r="H3" s="9"/>
      <c r="L3" s="10" t="str">
        <f aca="false">HYPERLINK("tel:+7-8412-26-04-95", "+7 (8412) 26-04-95")</f>
        <v>+7 (8412) 26-04-95</v>
      </c>
      <c r="M3" s="11" t="str">
        <f aca="false">=HYPERLINK("https://www.emi-penza.ru/", "www.emi-penza.ru  ")</f>
        <v>www.emi-penza.ru  </v>
      </c>
      <c r="N3" s="11"/>
      <c r="O3" s="7"/>
    </row>
    <row r="4" customFormat="false" ht="5.95" hidden="false" customHeight="true" outlineLevel="0" collapsed="false">
      <c r="B4" s="3"/>
      <c r="C4" s="6"/>
      <c r="D4" s="7"/>
      <c r="E4" s="12"/>
      <c r="F4" s="12"/>
      <c r="G4" s="9"/>
      <c r="H4" s="9"/>
      <c r="L4" s="13" t="str">
        <f aca="false">HYPERLINK("tel:+7-8412-26-04-96", "26-04-96")</f>
        <v>26-04-96</v>
      </c>
      <c r="M4" s="11" t="str">
        <f aca="false">=HYPERLINK("mailto:emi@emi-penza.ru", "emi@emi-penza.ru  ")</f>
        <v>emi@emi-penza.ru  </v>
      </c>
      <c r="N4" s="11"/>
      <c r="O4" s="7"/>
    </row>
    <row r="5" customFormat="false" ht="5.95" hidden="false" customHeight="true" outlineLevel="0" collapsed="false">
      <c r="B5" s="3"/>
      <c r="C5" s="14"/>
      <c r="D5" s="7"/>
      <c r="E5" s="15"/>
      <c r="F5" s="15"/>
      <c r="G5" s="16"/>
      <c r="H5" s="16"/>
      <c r="L5" s="13"/>
      <c r="M5" s="11"/>
      <c r="N5" s="11"/>
      <c r="O5" s="7"/>
    </row>
    <row r="6" customFormat="false" ht="12.95" hidden="false" customHeight="true" outlineLevel="0" collapsed="false">
      <c r="B6" s="3"/>
      <c r="C6" s="17"/>
      <c r="D6" s="16"/>
      <c r="E6" s="16"/>
      <c r="F6" s="16"/>
      <c r="G6" s="16"/>
      <c r="H6" s="16"/>
      <c r="L6" s="10" t="str">
        <f aca="false">HYPERLINK("tel:+7-8412-94-21-65", "94-21-65")</f>
        <v>94-21-65</v>
      </c>
      <c r="M6" s="11" t="str">
        <f aca="false">HYPERLINK("tel:+7-8412-94-13-40", "т.-факс: 94-13-40  ")</f>
        <v>т.-факс: 94-13-40  </v>
      </c>
      <c r="N6" s="11"/>
    </row>
    <row r="7" customFormat="false" ht="12.95" hidden="false" customHeight="true" outlineLevel="0" collapsed="false">
      <c r="B7" s="3"/>
      <c r="C7" s="14"/>
      <c r="D7" s="15"/>
      <c r="E7" s="15"/>
      <c r="F7" s="15"/>
      <c r="G7" s="18"/>
      <c r="H7" s="18"/>
      <c r="L7" s="19"/>
      <c r="N7" s="5"/>
    </row>
    <row r="8" customFormat="false" ht="12.95" hidden="false" customHeight="true" outlineLevel="0" collapsed="false">
      <c r="B8" s="3"/>
      <c r="C8" s="14"/>
      <c r="I8" s="1"/>
      <c r="J8" s="1"/>
      <c r="N8" s="5"/>
    </row>
    <row r="9" customFormat="false" ht="12.95" hidden="false" customHeight="true" outlineLevel="0" collapsed="false">
      <c r="B9" s="3"/>
      <c r="C9" s="20" t="s">
        <v>0</v>
      </c>
      <c r="D9" s="20"/>
      <c r="E9" s="20"/>
      <c r="F9" s="20"/>
      <c r="G9" s="20"/>
      <c r="H9" s="20"/>
      <c r="I9" s="20"/>
      <c r="N9" s="5"/>
    </row>
    <row r="10" customFormat="false" ht="2.15" hidden="false" customHeight="true" outlineLevel="0" collapsed="false">
      <c r="B10" s="3"/>
      <c r="C10" s="20"/>
      <c r="D10" s="20"/>
      <c r="E10" s="20"/>
      <c r="F10" s="20"/>
      <c r="G10" s="20"/>
      <c r="H10" s="20"/>
      <c r="I10" s="20"/>
      <c r="N10" s="5"/>
      <c r="O10" s="7"/>
    </row>
    <row r="11" customFormat="false" ht="8.5" hidden="false" customHeight="true" outlineLevel="0" collapsed="false">
      <c r="B11" s="3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1"/>
    </row>
    <row r="12" customFormat="false" ht="11.5" hidden="false" customHeight="true" outlineLevel="0" collapsed="false">
      <c r="B12" s="3"/>
      <c r="C12" s="20"/>
      <c r="D12" s="20"/>
      <c r="E12" s="20"/>
      <c r="F12" s="20"/>
      <c r="G12" s="20"/>
      <c r="H12" s="20"/>
      <c r="I12" s="20"/>
      <c r="J12" s="21" t="s">
        <v>1</v>
      </c>
      <c r="K12" s="21"/>
      <c r="L12" s="21"/>
      <c r="M12" s="21"/>
      <c r="N12" s="21"/>
      <c r="O12" s="21"/>
    </row>
    <row r="13" customFormat="false" ht="14.15" hidden="false" customHeight="true" outlineLevel="0" collapsed="false">
      <c r="C13" s="22" t="s">
        <v>2</v>
      </c>
      <c r="D13" s="23" t="s">
        <v>3</v>
      </c>
      <c r="E13" s="23"/>
      <c r="F13" s="23"/>
      <c r="G13" s="23"/>
      <c r="I13" s="24" t="s">
        <v>4</v>
      </c>
      <c r="J13" s="24" t="s">
        <v>5</v>
      </c>
      <c r="K13" s="24" t="s">
        <v>6</v>
      </c>
      <c r="L13" s="24" t="s">
        <v>7</v>
      </c>
      <c r="M13" s="24" t="s">
        <v>8</v>
      </c>
      <c r="N13" s="24" t="s">
        <v>9</v>
      </c>
      <c r="O13" s="24" t="s">
        <v>10</v>
      </c>
    </row>
    <row r="14" customFormat="false" ht="14.15" hidden="false" customHeight="true" outlineLevel="0" collapsed="false">
      <c r="A14" s="25"/>
      <c r="B14" s="25"/>
      <c r="C14" s="26"/>
      <c r="D14" s="25"/>
      <c r="E14" s="25"/>
      <c r="F14" s="25"/>
      <c r="G14" s="25"/>
      <c r="H14" s="25"/>
      <c r="I14" s="27" t="s">
        <v>11</v>
      </c>
      <c r="J14" s="27" t="s">
        <v>12</v>
      </c>
      <c r="K14" s="27" t="s">
        <v>13</v>
      </c>
      <c r="L14" s="27" t="s">
        <v>14</v>
      </c>
      <c r="M14" s="27" t="s">
        <v>15</v>
      </c>
      <c r="N14" s="27" t="s">
        <v>16</v>
      </c>
      <c r="O14" s="27" t="s">
        <v>17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customFormat="false" ht="22.7" hidden="false" customHeight="true" outlineLevel="0" collapsed="false">
      <c r="B15" s="3"/>
      <c r="C15" s="28" t="s">
        <v>18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customFormat="false" ht="2.85" hidden="false" customHeight="true" outlineLevel="0" collapsed="false">
      <c r="B16" s="3"/>
    </row>
    <row r="17" customFormat="false" ht="18.15" hidden="false" customHeight="true" outlineLevel="0" collapsed="false">
      <c r="B17" s="30"/>
      <c r="C17" s="31" t="str">
        <f aca="false">HYPERLINK("https://www.emi-penza.ru/p/6002.3829", "6002.3829")</f>
        <v>6002.3829</v>
      </c>
      <c r="D17" s="32" t="s">
        <v>19</v>
      </c>
      <c r="E17" s="32"/>
      <c r="F17" s="32"/>
      <c r="G17" s="32"/>
      <c r="H17" s="32"/>
      <c r="I17" s="33" t="n">
        <v>33</v>
      </c>
      <c r="J17" s="33" t="n">
        <v>240</v>
      </c>
      <c r="K17" s="32"/>
      <c r="L17" s="32"/>
      <c r="M17" s="32"/>
      <c r="N17" s="32"/>
      <c r="O17" s="32"/>
    </row>
    <row r="18" customFormat="false" ht="18.15" hidden="false" customHeight="true" outlineLevel="0" collapsed="false">
      <c r="B18" s="30"/>
      <c r="C18" s="31" t="str">
        <f aca="false">HYPERLINK("https://www.emi-penza.ru/p/6012.3829", "6012.3829")</f>
        <v>6012.3829</v>
      </c>
      <c r="D18" s="32" t="s">
        <v>20</v>
      </c>
      <c r="E18" s="32"/>
      <c r="F18" s="32"/>
      <c r="G18" s="32"/>
      <c r="H18" s="32"/>
      <c r="I18" s="33" t="n">
        <v>31</v>
      </c>
      <c r="J18" s="33" t="n">
        <v>240</v>
      </c>
      <c r="K18" s="32"/>
      <c r="L18" s="32"/>
      <c r="M18" s="32"/>
      <c r="N18" s="32"/>
      <c r="O18" s="32"/>
    </row>
    <row r="19" customFormat="false" ht="14.45" hidden="false" customHeight="true" outlineLevel="0" collapsed="false">
      <c r="B19" s="34"/>
      <c r="C19" s="35" t="str">
        <f aca="false">HYPERLINK("https://www.emi-penza.ru/p/6012.3829-01", "6012.3829-01")</f>
        <v>6012.3829-01</v>
      </c>
      <c r="D19" s="36" t="s">
        <v>21</v>
      </c>
      <c r="E19" s="36"/>
      <c r="F19" s="36"/>
      <c r="G19" s="36"/>
      <c r="H19" s="36"/>
      <c r="I19" s="37" t="n">
        <v>40</v>
      </c>
      <c r="J19" s="36" t="n">
        <v>171</v>
      </c>
      <c r="K19" s="36"/>
      <c r="L19" s="36"/>
      <c r="M19" s="36"/>
      <c r="N19" s="36"/>
      <c r="O19" s="36"/>
    </row>
    <row r="20" customFormat="false" ht="14.45" hidden="false" customHeight="true" outlineLevel="0" collapsed="false">
      <c r="B20" s="3"/>
      <c r="C20" s="38"/>
      <c r="D20" s="39" t="s">
        <v>22</v>
      </c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</row>
    <row r="21" customFormat="false" ht="18.15" hidden="false" customHeight="true" outlineLevel="0" collapsed="false">
      <c r="B21" s="30"/>
      <c r="C21" s="31" t="str">
        <f aca="false">HYPERLINK("https://www.emi-penza.ru/p/6012.3829-03", "6012.3829-03")</f>
        <v>6012.3829-03</v>
      </c>
      <c r="D21" s="32" t="s">
        <v>23</v>
      </c>
      <c r="E21" s="32"/>
      <c r="F21" s="32"/>
      <c r="G21" s="32"/>
      <c r="H21" s="32"/>
      <c r="I21" s="33" t="n">
        <v>33</v>
      </c>
      <c r="J21" s="33" t="n">
        <v>240</v>
      </c>
      <c r="K21" s="32"/>
      <c r="L21" s="32"/>
      <c r="M21" s="32"/>
      <c r="N21" s="32"/>
      <c r="O21" s="32"/>
    </row>
    <row r="22" customFormat="false" ht="18.15" hidden="false" customHeight="true" outlineLevel="0" collapsed="false">
      <c r="B22" s="30"/>
      <c r="C22" s="31" t="str">
        <f aca="false">HYPERLINK("https://www.emi-penza.ru/p/6012.3829-04", "6012.3829-04")</f>
        <v>6012.3829-04</v>
      </c>
      <c r="D22" s="32" t="s">
        <v>24</v>
      </c>
      <c r="E22" s="32"/>
      <c r="F22" s="32"/>
      <c r="G22" s="32"/>
      <c r="H22" s="32"/>
      <c r="I22" s="33" t="n">
        <v>33</v>
      </c>
      <c r="J22" s="33" t="n">
        <v>240</v>
      </c>
      <c r="K22" s="32"/>
      <c r="L22" s="32"/>
      <c r="M22" s="32"/>
      <c r="N22" s="32"/>
      <c r="O22" s="32"/>
    </row>
    <row r="23" customFormat="false" ht="18.15" hidden="false" customHeight="true" outlineLevel="0" collapsed="false">
      <c r="B23" s="30"/>
      <c r="C23" s="31" t="str">
        <f aca="false">HYPERLINK("https://www.emi-penza.ru/p/6012.3829-05", "6012.3829-05")</f>
        <v>6012.3829-05</v>
      </c>
      <c r="D23" s="32" t="s">
        <v>25</v>
      </c>
      <c r="E23" s="32"/>
      <c r="F23" s="32"/>
      <c r="G23" s="32"/>
      <c r="H23" s="32"/>
      <c r="I23" s="33" t="n">
        <v>33</v>
      </c>
      <c r="J23" s="33" t="n">
        <v>240</v>
      </c>
      <c r="K23" s="32"/>
      <c r="L23" s="32"/>
      <c r="M23" s="32"/>
      <c r="N23" s="32"/>
      <c r="O23" s="32"/>
    </row>
    <row r="24" customFormat="false" ht="18.15" hidden="false" customHeight="true" outlineLevel="0" collapsed="false">
      <c r="B24" s="30"/>
      <c r="C24" s="31" t="str">
        <f aca="false">HYPERLINK("https://www.emi-penza.ru/p/6022.3829", "6022.3829")</f>
        <v>6022.3829</v>
      </c>
      <c r="D24" s="32" t="s">
        <v>26</v>
      </c>
      <c r="E24" s="32"/>
      <c r="F24" s="32"/>
      <c r="G24" s="32"/>
      <c r="H24" s="32"/>
      <c r="I24" s="33" t="n">
        <v>28</v>
      </c>
      <c r="J24" s="33" t="n">
        <v>240</v>
      </c>
      <c r="K24" s="32"/>
      <c r="L24" s="32"/>
      <c r="M24" s="32"/>
      <c r="N24" s="32"/>
      <c r="O24" s="32"/>
    </row>
    <row r="25" customFormat="false" ht="18.15" hidden="false" customHeight="true" outlineLevel="0" collapsed="false">
      <c r="B25" s="30"/>
      <c r="C25" s="31" t="str">
        <f aca="false">HYPERLINK("https://www.emi-penza.ru/p/6022.3829-01", "6022.3829-01")</f>
        <v>6022.3829-01</v>
      </c>
      <c r="D25" s="32" t="s">
        <v>27</v>
      </c>
      <c r="E25" s="32"/>
      <c r="F25" s="32"/>
      <c r="G25" s="32"/>
      <c r="H25" s="32"/>
      <c r="I25" s="33" t="n">
        <v>32</v>
      </c>
      <c r="J25" s="33" t="n">
        <v>240</v>
      </c>
      <c r="K25" s="32"/>
      <c r="L25" s="32"/>
      <c r="M25" s="32"/>
      <c r="N25" s="32"/>
      <c r="O25" s="32"/>
    </row>
    <row r="26" customFormat="false" ht="13.6" hidden="false" customHeight="true" outlineLevel="0" collapsed="false">
      <c r="B26" s="34"/>
      <c r="C26" s="35" t="str">
        <f aca="false">HYPERLINK("https://www.emi-penza.ru/p/6022.3829-01-М", "6022.3829-01-М")</f>
        <v>6022.3829-01-М</v>
      </c>
      <c r="D26" s="36" t="s">
        <v>28</v>
      </c>
      <c r="E26" s="36"/>
      <c r="F26" s="36"/>
      <c r="G26" s="36"/>
      <c r="H26" s="36"/>
      <c r="I26" s="37" t="n">
        <v>32</v>
      </c>
      <c r="J26" s="37" t="n">
        <v>240</v>
      </c>
      <c r="K26" s="36"/>
      <c r="L26" s="36"/>
      <c r="M26" s="36"/>
      <c r="N26" s="36"/>
      <c r="O26" s="36"/>
    </row>
    <row r="27" customFormat="false" ht="15" hidden="false" customHeight="true" outlineLevel="0" collapsed="false">
      <c r="B27" s="3"/>
      <c r="C27" s="38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</row>
    <row r="28" customFormat="false" ht="13.6" hidden="false" customHeight="true" outlineLevel="0" collapsed="false">
      <c r="B28" s="34"/>
      <c r="C28" s="35" t="str">
        <f aca="false">HYPERLINK("https://www.emi-penza.ru/p/6022.3829-02", "6022.3829-02")</f>
        <v>6022.3829-02</v>
      </c>
      <c r="D28" s="36" t="s">
        <v>29</v>
      </c>
      <c r="E28" s="36"/>
      <c r="F28" s="36"/>
      <c r="G28" s="36"/>
      <c r="H28" s="36"/>
      <c r="I28" s="37" t="n">
        <v>33</v>
      </c>
      <c r="J28" s="37" t="n">
        <v>240</v>
      </c>
      <c r="K28" s="36"/>
      <c r="L28" s="36"/>
      <c r="M28" s="36"/>
      <c r="N28" s="36"/>
      <c r="O28" s="36"/>
    </row>
    <row r="29" customFormat="false" ht="15" hidden="false" customHeight="true" outlineLevel="0" collapsed="false">
      <c r="B29" s="3"/>
      <c r="C29" s="38"/>
      <c r="D29" s="39" t="s">
        <v>30</v>
      </c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</row>
    <row r="30" customFormat="false" ht="18.15" hidden="false" customHeight="true" outlineLevel="0" collapsed="false">
      <c r="B30" s="30"/>
      <c r="C30" s="31" t="str">
        <f aca="false">HYPERLINK("https://www.emi-penza.ru/p/6022.3829-03", "6022.3829-03")</f>
        <v>6022.3829-03</v>
      </c>
      <c r="D30" s="32"/>
      <c r="E30" s="32"/>
      <c r="F30" s="32"/>
      <c r="G30" s="32"/>
      <c r="H30" s="32"/>
      <c r="I30" s="33" t="n">
        <v>32</v>
      </c>
      <c r="J30" s="33" t="n">
        <v>240</v>
      </c>
      <c r="K30" s="32"/>
      <c r="L30" s="32"/>
      <c r="M30" s="32"/>
      <c r="N30" s="32"/>
      <c r="O30" s="32"/>
    </row>
    <row r="31" customFormat="false" ht="18.15" hidden="false" customHeight="true" outlineLevel="0" collapsed="false">
      <c r="B31" s="30"/>
      <c r="C31" s="31" t="str">
        <f aca="false">HYPERLINK("https://www.emi-penza.ru/p/6032.3829", "6032.3829")</f>
        <v>6032.3829</v>
      </c>
      <c r="D31" s="32" t="s">
        <v>31</v>
      </c>
      <c r="E31" s="32"/>
      <c r="F31" s="32"/>
      <c r="G31" s="32"/>
      <c r="H31" s="32"/>
      <c r="I31" s="33" t="n">
        <v>27</v>
      </c>
      <c r="J31" s="33" t="n">
        <v>240</v>
      </c>
      <c r="K31" s="32"/>
      <c r="L31" s="32"/>
      <c r="M31" s="32"/>
      <c r="N31" s="32"/>
      <c r="O31" s="32"/>
    </row>
    <row r="32" customFormat="false" ht="14.15" hidden="false" customHeight="true" outlineLevel="0" collapsed="false">
      <c r="B32" s="34"/>
      <c r="C32" s="35" t="str">
        <f aca="false">HYPERLINK("https://www.emi-penza.ru/p/6032.3829-01", "6032.3829-01")</f>
        <v>6032.3829-01</v>
      </c>
      <c r="D32" s="36" t="s">
        <v>32</v>
      </c>
      <c r="E32" s="36"/>
      <c r="F32" s="36"/>
      <c r="G32" s="36"/>
      <c r="H32" s="36"/>
      <c r="I32" s="37" t="n">
        <v>47</v>
      </c>
      <c r="J32" s="37"/>
      <c r="K32" s="36"/>
      <c r="L32" s="36" t="n">
        <v>171</v>
      </c>
      <c r="M32" s="36"/>
      <c r="N32" s="36"/>
      <c r="O32" s="36"/>
    </row>
    <row r="33" customFormat="false" ht="15" hidden="false" customHeight="true" outlineLevel="0" collapsed="false">
      <c r="B33" s="3"/>
      <c r="C33" s="38"/>
      <c r="D33" s="39" t="s">
        <v>33</v>
      </c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</row>
    <row r="34" customFormat="false" ht="18.15" hidden="false" customHeight="true" outlineLevel="0" collapsed="false">
      <c r="B34" s="30"/>
      <c r="C34" s="31" t="str">
        <f aca="false">HYPERLINK("https://www.emi-penza.ru/p/6032.3829-02", "6032.3829-02")</f>
        <v>6032.3829-02</v>
      </c>
      <c r="D34" s="32" t="s">
        <v>34</v>
      </c>
      <c r="E34" s="32"/>
      <c r="F34" s="32"/>
      <c r="G34" s="32"/>
      <c r="H34" s="32"/>
      <c r="I34" s="33" t="n">
        <v>27</v>
      </c>
      <c r="J34" s="33" t="n">
        <v>240</v>
      </c>
      <c r="K34" s="32"/>
      <c r="L34" s="32"/>
      <c r="M34" s="32"/>
      <c r="N34" s="32"/>
      <c r="O34" s="32"/>
    </row>
    <row r="35" customFormat="false" ht="13.6" hidden="false" customHeight="true" outlineLevel="0" collapsed="false">
      <c r="B35" s="34"/>
      <c r="C35" s="35" t="str">
        <f aca="false">HYPERLINK("https://www.emi-penza.ru/p/6032.3829-05", "6032.3829-05")</f>
        <v>6032.3829-05</v>
      </c>
      <c r="D35" s="36" t="s">
        <v>32</v>
      </c>
      <c r="E35" s="36"/>
      <c r="F35" s="36"/>
      <c r="G35" s="36"/>
      <c r="H35" s="36"/>
      <c r="I35" s="37" t="n">
        <v>47</v>
      </c>
      <c r="J35" s="37"/>
      <c r="K35" s="36"/>
      <c r="L35" s="41" t="n">
        <v>171</v>
      </c>
      <c r="M35" s="36"/>
      <c r="N35" s="36"/>
      <c r="O35" s="36"/>
    </row>
    <row r="36" customFormat="false" ht="15" hidden="false" customHeight="true" outlineLevel="0" collapsed="false">
      <c r="B36" s="3"/>
      <c r="C36" s="38"/>
      <c r="D36" s="39" t="s">
        <v>33</v>
      </c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</row>
    <row r="37" customFormat="false" ht="13.6" hidden="false" customHeight="true" outlineLevel="0" collapsed="false">
      <c r="B37" s="34"/>
      <c r="C37" s="35" t="str">
        <f aca="false">HYPERLINK("https://www.emi-penza.ru/p/6042.3829", "6042.3829")</f>
        <v>6042.3829</v>
      </c>
      <c r="D37" s="36" t="s">
        <v>35</v>
      </c>
      <c r="E37" s="36"/>
      <c r="F37" s="36"/>
      <c r="G37" s="36"/>
      <c r="H37" s="36"/>
      <c r="I37" s="37" t="n">
        <v>27</v>
      </c>
      <c r="J37" s="37" t="n">
        <v>240</v>
      </c>
      <c r="K37" s="36"/>
      <c r="L37" s="36"/>
      <c r="M37" s="36"/>
      <c r="N37" s="36"/>
      <c r="O37" s="36"/>
    </row>
    <row r="38" customFormat="false" ht="15" hidden="false" customHeight="true" outlineLevel="0" collapsed="false">
      <c r="B38" s="3"/>
      <c r="C38" s="38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</row>
    <row r="39" customFormat="false" ht="13.6" hidden="false" customHeight="true" outlineLevel="0" collapsed="false">
      <c r="B39" s="34"/>
      <c r="C39" s="35" t="str">
        <f aca="false">HYPERLINK("https://www.emi-penza.ru/p/6052.3829", "6052.3829")</f>
        <v>6052.3829</v>
      </c>
      <c r="D39" s="36" t="s">
        <v>36</v>
      </c>
      <c r="E39" s="36"/>
      <c r="F39" s="36"/>
      <c r="G39" s="36"/>
      <c r="H39" s="36"/>
      <c r="I39" s="37" t="n">
        <v>36</v>
      </c>
      <c r="J39" s="37" t="n">
        <v>171</v>
      </c>
      <c r="K39" s="36"/>
      <c r="L39" s="36"/>
      <c r="M39" s="36"/>
      <c r="N39" s="36"/>
      <c r="O39" s="36"/>
    </row>
    <row r="40" customFormat="false" ht="15" hidden="false" customHeight="true" outlineLevel="0" collapsed="false">
      <c r="B40" s="3"/>
      <c r="C40" s="38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</row>
    <row r="41" customFormat="false" ht="13.6" hidden="false" customHeight="true" outlineLevel="0" collapsed="false">
      <c r="B41" s="34"/>
      <c r="C41" s="35" t="str">
        <f aca="false">HYPERLINK("https://www.emi-penza.ru/p/6052.3829-01", "6052.3829-01")</f>
        <v>6052.3829-01</v>
      </c>
      <c r="D41" s="36" t="s">
        <v>37</v>
      </c>
      <c r="E41" s="36"/>
      <c r="F41" s="36"/>
      <c r="G41" s="36"/>
      <c r="H41" s="36"/>
      <c r="I41" s="37" t="n">
        <v>40</v>
      </c>
      <c r="J41" s="37" t="n">
        <v>171</v>
      </c>
      <c r="K41" s="36"/>
      <c r="L41" s="36"/>
      <c r="M41" s="36"/>
      <c r="N41" s="36"/>
      <c r="O41" s="36"/>
    </row>
    <row r="42" customFormat="false" ht="15" hidden="false" customHeight="true" outlineLevel="0" collapsed="false">
      <c r="B42" s="3"/>
      <c r="C42" s="38"/>
      <c r="D42" s="39" t="s">
        <v>38</v>
      </c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</row>
    <row r="43" customFormat="false" ht="13.6" hidden="false" customHeight="true" outlineLevel="0" collapsed="false">
      <c r="B43" s="34"/>
      <c r="C43" s="35" t="str">
        <f aca="false">HYPERLINK("https://www.emi-penza.ru/p/6052.3829-03", "6052.3829-03")</f>
        <v>6052.3829-03</v>
      </c>
      <c r="D43" s="36" t="s">
        <v>36</v>
      </c>
      <c r="E43" s="36"/>
      <c r="F43" s="36"/>
      <c r="G43" s="36"/>
      <c r="H43" s="36"/>
      <c r="I43" s="37" t="n">
        <v>42</v>
      </c>
      <c r="J43" s="37" t="n">
        <v>171</v>
      </c>
      <c r="K43" s="36"/>
      <c r="L43" s="36"/>
      <c r="M43" s="36"/>
      <c r="N43" s="36"/>
      <c r="O43" s="36"/>
    </row>
    <row r="44" customFormat="false" ht="15" hidden="false" customHeight="true" outlineLevel="0" collapsed="false">
      <c r="B44" s="3"/>
      <c r="C44" s="38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</row>
    <row r="45" customFormat="false" ht="18.15" hidden="false" customHeight="true" outlineLevel="0" collapsed="false">
      <c r="B45" s="30"/>
      <c r="C45" s="31" t="str">
        <f aca="false">HYPERLINK("https://www.emi-penza.ru/p/6062.3829", "6062.3829")</f>
        <v>6062.3829</v>
      </c>
      <c r="D45" s="32" t="s">
        <v>39</v>
      </c>
      <c r="E45" s="32"/>
      <c r="F45" s="32"/>
      <c r="G45" s="32"/>
      <c r="H45" s="42" t="s">
        <v>40</v>
      </c>
      <c r="I45" s="33" t="n">
        <v>38</v>
      </c>
      <c r="J45" s="33"/>
      <c r="K45" s="32"/>
      <c r="L45" s="32"/>
      <c r="M45" s="32"/>
      <c r="N45" s="32"/>
      <c r="O45" s="32"/>
    </row>
    <row r="46" customFormat="false" ht="18.15" hidden="false" customHeight="true" outlineLevel="0" collapsed="false">
      <c r="B46" s="30"/>
      <c r="C46" s="31" t="str">
        <f aca="false">HYPERLINK("https://www.emi-penza.ru/p/6072.3829", "6072.3829")</f>
        <v>6072.3829</v>
      </c>
      <c r="D46" s="32"/>
      <c r="E46" s="32"/>
      <c r="F46" s="32"/>
      <c r="G46" s="32"/>
      <c r="H46" s="32"/>
      <c r="I46" s="33" t="n">
        <v>37</v>
      </c>
      <c r="J46" s="33" t="n">
        <v>171</v>
      </c>
      <c r="K46" s="32"/>
      <c r="L46" s="32"/>
      <c r="M46" s="32"/>
      <c r="N46" s="32"/>
      <c r="O46" s="32"/>
    </row>
    <row r="47" customFormat="false" ht="18.15" hidden="false" customHeight="true" outlineLevel="0" collapsed="false">
      <c r="B47" s="30"/>
      <c r="C47" s="31" t="str">
        <f aca="false">HYPERLINK("https://www.emi-penza.ru/p/6072.3829-03", "6072.3829-03")</f>
        <v>6072.3829-03</v>
      </c>
      <c r="D47" s="32"/>
      <c r="E47" s="32"/>
      <c r="F47" s="32"/>
      <c r="G47" s="32"/>
      <c r="H47" s="32"/>
      <c r="I47" s="33" t="n">
        <v>45</v>
      </c>
      <c r="J47" s="33" t="n">
        <v>171</v>
      </c>
      <c r="K47" s="32"/>
      <c r="L47" s="32"/>
      <c r="M47" s="32"/>
      <c r="N47" s="32"/>
      <c r="O47" s="32"/>
    </row>
    <row r="48" customFormat="false" ht="18.15" hidden="false" customHeight="true" outlineLevel="0" collapsed="false">
      <c r="B48" s="30"/>
      <c r="C48" s="31" t="str">
        <f aca="false">HYPERLINK("https://www.emi-penza.ru/p/6072.3829-04", "6072.3829-04")</f>
        <v>6072.3829-04</v>
      </c>
      <c r="D48" s="32"/>
      <c r="E48" s="32"/>
      <c r="F48" s="32"/>
      <c r="G48" s="32"/>
      <c r="H48" s="32"/>
      <c r="I48" s="33" t="n">
        <v>37</v>
      </c>
      <c r="J48" s="33" t="n">
        <v>171</v>
      </c>
      <c r="K48" s="32"/>
      <c r="L48" s="32"/>
      <c r="M48" s="32"/>
      <c r="N48" s="32"/>
      <c r="O48" s="32"/>
    </row>
    <row r="49" customFormat="false" ht="13.6" hidden="false" customHeight="true" outlineLevel="0" collapsed="false">
      <c r="B49" s="34"/>
      <c r="C49" s="35" t="str">
        <f aca="false">HYPERLINK("https://www.emi-penza.ru/p/6072.3829-05", "6072.3829-05")</f>
        <v>6072.3829-05</v>
      </c>
      <c r="D49" s="36" t="s">
        <v>41</v>
      </c>
      <c r="E49" s="36"/>
      <c r="F49" s="36"/>
      <c r="G49" s="36"/>
      <c r="H49" s="36"/>
      <c r="I49" s="37" t="n">
        <v>55</v>
      </c>
      <c r="J49" s="37" t="n">
        <v>171</v>
      </c>
      <c r="K49" s="36"/>
      <c r="L49" s="36"/>
      <c r="M49" s="36"/>
      <c r="N49" s="36"/>
      <c r="O49" s="36"/>
    </row>
    <row r="50" customFormat="false" ht="15" hidden="false" customHeight="true" outlineLevel="0" collapsed="false">
      <c r="B50" s="3"/>
      <c r="C50" s="38"/>
      <c r="D50" s="39" t="s">
        <v>42</v>
      </c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</row>
    <row r="51" customFormat="false" ht="18.15" hidden="false" customHeight="true" outlineLevel="0" collapsed="false">
      <c r="B51" s="30"/>
      <c r="C51" s="31" t="str">
        <f aca="false">HYPERLINK("https://www.emi-penza.ru/p/153", "6072.3829-06 (0,9 бар)")</f>
        <v>6072.3829-06 (0,9 бар)</v>
      </c>
      <c r="D51" s="32"/>
      <c r="E51" s="32"/>
      <c r="F51" s="32" t="s">
        <v>43</v>
      </c>
      <c r="G51" s="32"/>
      <c r="H51" s="32"/>
      <c r="I51" s="33" t="n">
        <v>55</v>
      </c>
      <c r="J51" s="33" t="n">
        <v>171</v>
      </c>
      <c r="K51" s="32"/>
      <c r="L51" s="32"/>
      <c r="M51" s="32"/>
      <c r="N51" s="32"/>
      <c r="O51" s="32"/>
    </row>
    <row r="52" customFormat="false" ht="14.15" hidden="false" customHeight="true" outlineLevel="0" collapsed="false">
      <c r="B52" s="34"/>
      <c r="C52" s="35" t="str">
        <f aca="false">HYPERLINK("https://www.emi-penza.ru/p/174", "6072.3829-06 (2,0 бар)")</f>
        <v>6072.3829-06 (2,0 бар)</v>
      </c>
      <c r="D52" s="36"/>
      <c r="E52" s="36"/>
      <c r="F52" s="36" t="s">
        <v>44</v>
      </c>
      <c r="G52" s="36"/>
      <c r="H52" s="36"/>
      <c r="I52" s="37" t="n">
        <v>55</v>
      </c>
      <c r="J52" s="37" t="n">
        <v>171</v>
      </c>
      <c r="K52" s="36"/>
      <c r="L52" s="36"/>
      <c r="M52" s="36"/>
      <c r="N52" s="36"/>
      <c r="O52" s="36"/>
    </row>
    <row r="53" customFormat="false" ht="12.2" hidden="false" customHeight="true" outlineLevel="0" collapsed="false">
      <c r="B53" s="3"/>
      <c r="C53" s="43"/>
      <c r="D53" s="44"/>
      <c r="E53" s="44"/>
      <c r="F53" s="44" t="s">
        <v>45</v>
      </c>
      <c r="G53" s="44"/>
      <c r="H53" s="44"/>
      <c r="I53" s="45"/>
      <c r="J53" s="45"/>
      <c r="K53" s="46"/>
      <c r="L53" s="46"/>
      <c r="M53" s="44"/>
      <c r="N53" s="44"/>
      <c r="O53" s="44"/>
    </row>
    <row r="54" customFormat="false" ht="28.35" hidden="false" customHeight="true" outlineLevel="0" collapsed="false">
      <c r="B54" s="3"/>
      <c r="C54" s="47"/>
      <c r="D54" s="48"/>
      <c r="E54" s="48"/>
      <c r="F54" s="48"/>
      <c r="G54" s="48"/>
      <c r="H54" s="48"/>
      <c r="I54" s="49"/>
      <c r="J54" s="49"/>
      <c r="K54" s="48"/>
      <c r="L54" s="48"/>
      <c r="M54" s="48"/>
      <c r="N54" s="48"/>
      <c r="O54" s="48"/>
    </row>
    <row r="55" customFormat="false" ht="18.15" hidden="false" customHeight="true" outlineLevel="0" collapsed="false">
      <c r="B55" s="30"/>
      <c r="C55" s="31" t="str">
        <f aca="false">HYPERLINK("https://www.emi-penza.ru/p/3602.3828", "3602.3828")</f>
        <v>3602.3828</v>
      </c>
      <c r="D55" s="32" t="s">
        <v>46</v>
      </c>
      <c r="E55" s="32"/>
      <c r="F55" s="32"/>
      <c r="G55" s="32"/>
      <c r="H55" s="32"/>
      <c r="I55" s="33" t="n">
        <v>35</v>
      </c>
      <c r="J55" s="33" t="n">
        <v>240</v>
      </c>
      <c r="K55" s="32"/>
      <c r="L55" s="32"/>
      <c r="M55" s="32"/>
      <c r="N55" s="32"/>
      <c r="O55" s="32"/>
    </row>
    <row r="56" customFormat="false" ht="18.15" hidden="false" customHeight="true" outlineLevel="0" collapsed="false">
      <c r="B56" s="30"/>
      <c r="C56" s="31" t="str">
        <f aca="false">HYPERLINK("https://www.emi-penza.ru/p/3602.3828-01", "3602.3828-01")</f>
        <v>3602.3828-01</v>
      </c>
      <c r="D56" s="32" t="s">
        <v>47</v>
      </c>
      <c r="E56" s="32"/>
      <c r="F56" s="32"/>
      <c r="G56" s="32"/>
      <c r="H56" s="32"/>
      <c r="I56" s="33" t="n">
        <v>32</v>
      </c>
      <c r="J56" s="33" t="n">
        <v>240</v>
      </c>
      <c r="K56" s="32"/>
      <c r="L56" s="32"/>
      <c r="M56" s="32"/>
      <c r="N56" s="32"/>
      <c r="O56" s="32"/>
    </row>
    <row r="57" customFormat="false" ht="13.6" hidden="false" customHeight="true" outlineLevel="0" collapsed="false">
      <c r="B57" s="34"/>
      <c r="C57" s="35" t="str">
        <f aca="false">HYPERLINK("https://www.emi-penza.ru/p/30.3847", "30.3847")</f>
        <v>30.3847</v>
      </c>
      <c r="D57" s="36" t="s">
        <v>48</v>
      </c>
      <c r="E57" s="36"/>
      <c r="F57" s="36"/>
      <c r="G57" s="36"/>
      <c r="H57" s="36"/>
      <c r="I57" s="37" t="n">
        <v>37</v>
      </c>
      <c r="J57" s="37"/>
      <c r="K57" s="36"/>
      <c r="L57" s="36" t="n">
        <v>100</v>
      </c>
      <c r="M57" s="36"/>
      <c r="N57" s="36"/>
      <c r="O57" s="36"/>
    </row>
    <row r="58" customFormat="false" ht="15" hidden="false" customHeight="true" outlineLevel="0" collapsed="false">
      <c r="B58" s="3"/>
      <c r="C58" s="38"/>
      <c r="D58" s="39"/>
      <c r="E58" s="39"/>
      <c r="F58" s="39"/>
      <c r="G58" s="39"/>
      <c r="H58" s="50" t="s">
        <v>40</v>
      </c>
      <c r="I58" s="40" t="n">
        <v>43</v>
      </c>
      <c r="J58" s="40"/>
      <c r="K58" s="39" t="n">
        <v>50</v>
      </c>
      <c r="L58" s="39"/>
      <c r="M58" s="39"/>
      <c r="N58" s="39"/>
      <c r="O58" s="39"/>
    </row>
    <row r="59" customFormat="false" ht="13.6" hidden="false" customHeight="true" outlineLevel="0" collapsed="false">
      <c r="B59" s="34"/>
      <c r="C59" s="35" t="str">
        <f aca="false">HYPERLINK("https://www.emi-penza.ru/p/56.3843", "56.3843")</f>
        <v>56.3843</v>
      </c>
      <c r="D59" s="36" t="s">
        <v>49</v>
      </c>
      <c r="E59" s="36"/>
      <c r="F59" s="36"/>
      <c r="G59" s="36"/>
      <c r="H59" s="36"/>
      <c r="I59" s="37" t="n">
        <v>18</v>
      </c>
      <c r="J59" s="37" t="n">
        <v>100</v>
      </c>
      <c r="K59" s="36"/>
      <c r="L59" s="36"/>
      <c r="M59" s="36"/>
      <c r="N59" s="36"/>
      <c r="O59" s="36"/>
    </row>
    <row r="60" customFormat="false" ht="15" hidden="false" customHeight="true" outlineLevel="0" collapsed="false">
      <c r="B60" s="3"/>
      <c r="C60" s="38"/>
      <c r="D60" s="39" t="s">
        <v>50</v>
      </c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</row>
    <row r="61" customFormat="false" ht="18.15" hidden="false" customHeight="true" outlineLevel="0" collapsed="false">
      <c r="B61" s="30"/>
      <c r="C61" s="31" t="str">
        <f aca="false">HYPERLINK("https://www.emi-penza.ru/p/64.3855", "64.3855")</f>
        <v>64.3855</v>
      </c>
      <c r="D61" s="32" t="s">
        <v>51</v>
      </c>
      <c r="E61" s="32"/>
      <c r="F61" s="32"/>
      <c r="G61" s="32"/>
      <c r="H61" s="32"/>
      <c r="I61" s="33" t="n">
        <v>46</v>
      </c>
      <c r="J61" s="33"/>
      <c r="K61" s="32"/>
      <c r="L61" s="32"/>
      <c r="M61" s="32" t="n">
        <v>75</v>
      </c>
      <c r="N61" s="32"/>
      <c r="O61" s="32"/>
    </row>
    <row r="62" customFormat="false" ht="18.15" hidden="false" customHeight="true" outlineLevel="0" collapsed="false">
      <c r="B62" s="30"/>
      <c r="C62" s="31" t="str">
        <f aca="false">HYPERLINK("https://www.emi-penza.ru/p/64.3855-01", "64.3855-01")</f>
        <v>64.3855-01</v>
      </c>
      <c r="D62" s="32" t="s">
        <v>52</v>
      </c>
      <c r="E62" s="32"/>
      <c r="F62" s="32"/>
      <c r="G62" s="32"/>
      <c r="H62" s="32"/>
      <c r="I62" s="33" t="n">
        <v>44</v>
      </c>
      <c r="J62" s="33"/>
      <c r="K62" s="32"/>
      <c r="L62" s="32"/>
      <c r="M62" s="32" t="n">
        <v>100</v>
      </c>
      <c r="N62" s="32"/>
      <c r="O62" s="32"/>
    </row>
    <row r="63" customFormat="false" ht="18.15" hidden="false" customHeight="true" outlineLevel="0" collapsed="false">
      <c r="B63" s="30"/>
      <c r="C63" s="31" t="str">
        <f aca="false">HYPERLINK("https://www.emi-penza.ru/p/64.3855-02", "64.3855-02")</f>
        <v>64.3855-02</v>
      </c>
      <c r="D63" s="32" t="s">
        <v>53</v>
      </c>
      <c r="E63" s="32"/>
      <c r="F63" s="32"/>
      <c r="G63" s="32"/>
      <c r="H63" s="32"/>
      <c r="I63" s="33" t="n">
        <v>48</v>
      </c>
      <c r="J63" s="33"/>
      <c r="K63" s="32"/>
      <c r="L63" s="32"/>
      <c r="M63" s="32" t="n">
        <v>75</v>
      </c>
      <c r="N63" s="32"/>
      <c r="O63" s="32"/>
    </row>
    <row r="64" customFormat="false" ht="18.15" hidden="false" customHeight="true" outlineLevel="0" collapsed="false">
      <c r="B64" s="30"/>
      <c r="C64" s="31" t="str">
        <f aca="false">HYPERLINK("https://www.emi-penza.ru/p/64.3855-03", "64.3855-03")</f>
        <v>64.3855-03</v>
      </c>
      <c r="D64" s="32" t="s">
        <v>54</v>
      </c>
      <c r="E64" s="32"/>
      <c r="F64" s="32"/>
      <c r="G64" s="32"/>
      <c r="H64" s="32"/>
      <c r="I64" s="33" t="n">
        <v>51</v>
      </c>
      <c r="J64" s="33"/>
      <c r="K64" s="32"/>
      <c r="L64" s="32" t="n">
        <v>50</v>
      </c>
      <c r="M64" s="32"/>
      <c r="N64" s="32"/>
      <c r="O64" s="32"/>
    </row>
    <row r="65" customFormat="false" ht="18.15" hidden="false" customHeight="true" outlineLevel="0" collapsed="false">
      <c r="B65" s="30"/>
      <c r="C65" s="31" t="str">
        <f aca="false">HYPERLINK("https://www.emi-penza.ru/p/64.3855-04", "64.3855-04")</f>
        <v>64.3855-04</v>
      </c>
      <c r="D65" s="32"/>
      <c r="E65" s="32"/>
      <c r="F65" s="32"/>
      <c r="G65" s="32"/>
      <c r="H65" s="32"/>
      <c r="I65" s="33"/>
      <c r="J65" s="33"/>
      <c r="K65" s="32"/>
      <c r="L65" s="32"/>
      <c r="M65" s="32"/>
      <c r="N65" s="32"/>
      <c r="O65" s="32"/>
    </row>
    <row r="66" customFormat="false" ht="18.15" hidden="false" customHeight="true" outlineLevel="0" collapsed="false">
      <c r="B66" s="30"/>
      <c r="C66" s="51" t="str">
        <f aca="false">HYPERLINK("https://www.emi-penza.ru/p/4102.3847", "4102.3847")</f>
        <v>4102.3847</v>
      </c>
      <c r="D66" s="52" t="s">
        <v>55</v>
      </c>
      <c r="E66" s="52"/>
      <c r="F66" s="52"/>
      <c r="G66" s="52"/>
      <c r="H66" s="52"/>
      <c r="I66" s="53" t="n">
        <v>22</v>
      </c>
      <c r="J66" s="53"/>
      <c r="K66" s="52" t="n">
        <v>100</v>
      </c>
      <c r="L66" s="52"/>
      <c r="M66" s="52"/>
      <c r="N66" s="52"/>
      <c r="O66" s="52"/>
    </row>
    <row r="67" customFormat="false" ht="18.15" hidden="false" customHeight="true" outlineLevel="0" collapsed="false">
      <c r="B67" s="30"/>
      <c r="C67" s="54"/>
      <c r="D67" s="44"/>
      <c r="E67" s="44"/>
      <c r="F67" s="44"/>
      <c r="G67" s="44"/>
      <c r="H67" s="44"/>
      <c r="I67" s="45"/>
      <c r="J67" s="45"/>
      <c r="K67" s="44"/>
      <c r="L67" s="44"/>
      <c r="M67" s="44"/>
      <c r="N67" s="44"/>
      <c r="O67" s="44"/>
    </row>
    <row r="68" customFormat="false" ht="22.7" hidden="false" customHeight="true" outlineLevel="0" collapsed="false">
      <c r="B68" s="3"/>
      <c r="C68" s="28" t="s">
        <v>56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customFormat="false" ht="2.85" hidden="false" customHeight="true" outlineLevel="0" collapsed="false">
      <c r="B69" s="3"/>
    </row>
    <row r="70" customFormat="false" ht="18.15" hidden="false" customHeight="true" outlineLevel="0" collapsed="false">
      <c r="B70" s="30"/>
      <c r="C70" s="31" t="str">
        <f aca="false">HYPERLINK("https://www.emi-penza.ru/p/4102.3847-01", "4102.3847-01")</f>
        <v>4102.3847-01</v>
      </c>
      <c r="D70" s="32" t="s">
        <v>57</v>
      </c>
      <c r="E70" s="32"/>
      <c r="F70" s="32"/>
      <c r="G70" s="32"/>
      <c r="H70" s="32"/>
      <c r="I70" s="33" t="n">
        <v>135</v>
      </c>
      <c r="J70" s="33"/>
      <c r="K70" s="32"/>
      <c r="L70" s="32"/>
      <c r="M70" s="32"/>
      <c r="N70" s="32"/>
      <c r="O70" s="32"/>
    </row>
    <row r="71" customFormat="false" ht="18.15" hidden="false" customHeight="true" outlineLevel="0" collapsed="false">
      <c r="B71" s="30"/>
      <c r="C71" s="31" t="str">
        <f aca="false">HYPERLINK("https://www.emi-penza.ru/p/4102.3847-02", "4102.3847-02")</f>
        <v>4102.3847-02</v>
      </c>
      <c r="D71" s="32" t="s">
        <v>58</v>
      </c>
      <c r="E71" s="32"/>
      <c r="F71" s="32"/>
      <c r="G71" s="32"/>
      <c r="H71" s="32"/>
      <c r="I71" s="33" t="n">
        <v>125</v>
      </c>
      <c r="J71" s="33"/>
      <c r="K71" s="32"/>
      <c r="L71" s="32"/>
      <c r="M71" s="32"/>
      <c r="N71" s="32"/>
      <c r="O71" s="32"/>
    </row>
    <row r="72" customFormat="false" ht="18.15" hidden="false" customHeight="true" outlineLevel="0" collapsed="false">
      <c r="B72" s="30"/>
      <c r="C72" s="31" t="str">
        <f aca="false">HYPERLINK("https://www.emi-penza.ru/p/4102.3847-03", "4102.3847-03")</f>
        <v>4102.3847-03</v>
      </c>
      <c r="D72" s="32"/>
      <c r="E72" s="32"/>
      <c r="F72" s="32"/>
      <c r="G72" s="32"/>
      <c r="H72" s="32"/>
      <c r="I72" s="33" t="n">
        <v>145</v>
      </c>
      <c r="J72" s="33"/>
      <c r="K72" s="32"/>
      <c r="L72" s="32"/>
      <c r="M72" s="32"/>
      <c r="N72" s="32"/>
      <c r="O72" s="32"/>
    </row>
    <row r="73" customFormat="false" ht="18.15" hidden="false" customHeight="true" outlineLevel="0" collapsed="false">
      <c r="B73" s="30"/>
      <c r="C73" s="31" t="str">
        <f aca="false">HYPERLINK("https://www.emi-penza.ru/p/4102.3847-05", "4102.3847-05")</f>
        <v>4102.3847-05</v>
      </c>
      <c r="D73" s="32" t="s">
        <v>59</v>
      </c>
      <c r="E73" s="32"/>
      <c r="F73" s="32"/>
      <c r="G73" s="32"/>
      <c r="H73" s="32"/>
      <c r="I73" s="33" t="n">
        <v>100</v>
      </c>
      <c r="J73" s="33"/>
      <c r="K73" s="32"/>
      <c r="L73" s="32"/>
      <c r="M73" s="32"/>
      <c r="N73" s="32"/>
      <c r="O73" s="32"/>
    </row>
    <row r="74" customFormat="false" ht="18.15" hidden="false" customHeight="true" outlineLevel="0" collapsed="false">
      <c r="B74" s="30"/>
      <c r="C74" s="31" t="str">
        <f aca="false">HYPERLINK("https://www.emi-penza.ru/p/4102.3847-05_SO", "4102.3847-05 СЗ")</f>
        <v>4102.3847-05 СЗ</v>
      </c>
      <c r="D74" s="32"/>
      <c r="E74" s="32"/>
      <c r="F74" s="32"/>
      <c r="G74" s="32"/>
      <c r="H74" s="32"/>
      <c r="I74" s="33" t="n">
        <v>100</v>
      </c>
      <c r="J74" s="33" t="n">
        <v>50</v>
      </c>
      <c r="K74" s="32"/>
      <c r="L74" s="32"/>
      <c r="M74" s="32"/>
      <c r="N74" s="32"/>
      <c r="O74" s="32"/>
    </row>
    <row r="75" customFormat="false" ht="13.6" hidden="false" customHeight="true" outlineLevel="0" collapsed="false">
      <c r="B75" s="55"/>
      <c r="C75" s="35" t="str">
        <f aca="false">HYPERLINK("https://www.emi-penza.ru/p/4102.3847-07", "4102.3847-07")</f>
        <v>4102.3847-07</v>
      </c>
      <c r="D75" s="36" t="s">
        <v>60</v>
      </c>
      <c r="E75" s="36"/>
      <c r="F75" s="36"/>
      <c r="G75" s="36"/>
      <c r="H75" s="36"/>
      <c r="I75" s="37" t="n">
        <v>115</v>
      </c>
      <c r="J75" s="37" t="n">
        <v>114</v>
      </c>
      <c r="K75" s="36"/>
      <c r="L75" s="36"/>
      <c r="M75" s="36"/>
      <c r="N75" s="36"/>
      <c r="O75" s="36"/>
    </row>
    <row r="76" customFormat="false" ht="15" hidden="false" customHeight="true" outlineLevel="0" collapsed="false">
      <c r="B76" s="56"/>
      <c r="C76" s="38"/>
      <c r="D76" s="39" t="s">
        <v>61</v>
      </c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</row>
    <row r="77" customFormat="false" ht="18.15" hidden="false" customHeight="true" outlineLevel="0" collapsed="false">
      <c r="B77" s="30"/>
      <c r="C77" s="31" t="str">
        <f aca="false">HYPERLINK("https://www.emi-penza.ru/p/4102.3847-14", "4102.3847-14")</f>
        <v>4102.3847-14</v>
      </c>
      <c r="D77" s="32"/>
      <c r="E77" s="32"/>
      <c r="F77" s="32"/>
      <c r="G77" s="32"/>
      <c r="H77" s="32"/>
      <c r="I77" s="33" t="n">
        <v>124</v>
      </c>
      <c r="J77" s="33" t="n">
        <v>114</v>
      </c>
      <c r="K77" s="32"/>
      <c r="L77" s="32"/>
      <c r="M77" s="32"/>
      <c r="N77" s="32"/>
      <c r="O77" s="32"/>
    </row>
    <row r="78" customFormat="false" ht="18.15" hidden="false" customHeight="true" outlineLevel="0" collapsed="false">
      <c r="B78" s="30"/>
      <c r="C78" s="31" t="str">
        <f aca="false">HYPERLINK("https://www.emi-penza.ru/p/4102.3847-15", "4102.3847-15")</f>
        <v>4102.3847-15</v>
      </c>
      <c r="D78" s="32" t="s">
        <v>62</v>
      </c>
      <c r="E78" s="32"/>
      <c r="F78" s="32"/>
      <c r="G78" s="32"/>
      <c r="H78" s="32"/>
      <c r="I78" s="33" t="n">
        <v>96</v>
      </c>
      <c r="J78" s="33" t="n">
        <v>114</v>
      </c>
      <c r="K78" s="32"/>
      <c r="L78" s="32"/>
      <c r="M78" s="32"/>
      <c r="N78" s="32"/>
      <c r="O78" s="32"/>
    </row>
    <row r="79" customFormat="false" ht="18.15" hidden="false" customHeight="true" outlineLevel="0" collapsed="false">
      <c r="B79" s="30"/>
      <c r="C79" s="31" t="str">
        <f aca="false">HYPERLINK("https://www.emi-penza.ru/p/4102.3847-16", "4102.3847-16")</f>
        <v>4102.3847-16</v>
      </c>
      <c r="D79" s="32" t="s">
        <v>63</v>
      </c>
      <c r="E79" s="32"/>
      <c r="F79" s="32"/>
      <c r="G79" s="32"/>
      <c r="H79" s="32"/>
      <c r="I79" s="33" t="n">
        <v>115</v>
      </c>
      <c r="J79" s="33" t="n">
        <v>114</v>
      </c>
      <c r="K79" s="32"/>
      <c r="L79" s="32"/>
      <c r="M79" s="32"/>
      <c r="N79" s="32"/>
      <c r="O79" s="32"/>
    </row>
    <row r="80" customFormat="false" ht="18.15" hidden="false" customHeight="true" outlineLevel="0" collapsed="false">
      <c r="B80" s="30"/>
      <c r="C80" s="31" t="str">
        <f aca="false">HYPERLINK("https://www.emi-penza.ru/p/4102.3847-17", "4102.3847-17")</f>
        <v>4102.3847-17</v>
      </c>
      <c r="D80" s="32" t="s">
        <v>64</v>
      </c>
      <c r="E80" s="32"/>
      <c r="F80" s="32"/>
      <c r="G80" s="32"/>
      <c r="H80" s="32"/>
      <c r="I80" s="33" t="n">
        <v>114</v>
      </c>
      <c r="J80" s="33" t="n">
        <v>114</v>
      </c>
      <c r="K80" s="32"/>
      <c r="L80" s="32"/>
      <c r="M80" s="32"/>
      <c r="N80" s="32"/>
      <c r="O80" s="32"/>
    </row>
    <row r="81" customFormat="false" ht="18.15" hidden="false" customHeight="true" outlineLevel="0" collapsed="false">
      <c r="B81" s="30"/>
      <c r="C81" s="51" t="str">
        <f aca="false">HYPERLINK("https://www.emi-penza.ru/p/4102.3847-19", "4102.3847-19")</f>
        <v>4102.3847-19</v>
      </c>
      <c r="D81" s="52" t="s">
        <v>65</v>
      </c>
      <c r="E81" s="52"/>
      <c r="F81" s="52"/>
      <c r="G81" s="52"/>
      <c r="H81" s="52"/>
      <c r="I81" s="53" t="n">
        <v>175</v>
      </c>
      <c r="J81" s="53" t="n">
        <v>57</v>
      </c>
      <c r="K81" s="52"/>
      <c r="L81" s="52"/>
      <c r="M81" s="52"/>
      <c r="N81" s="52"/>
      <c r="O81" s="52"/>
    </row>
    <row r="82" customFormat="false" ht="18.15" hidden="false" customHeight="true" outlineLevel="0" collapsed="false">
      <c r="B82" s="30"/>
      <c r="C82" s="54"/>
      <c r="D82" s="44"/>
      <c r="E82" s="44"/>
      <c r="F82" s="44"/>
      <c r="G82" s="44"/>
      <c r="H82" s="44"/>
      <c r="I82" s="45"/>
      <c r="J82" s="45"/>
      <c r="K82" s="44"/>
      <c r="L82" s="44"/>
      <c r="M82" s="44"/>
      <c r="N82" s="44"/>
      <c r="O82" s="44"/>
    </row>
    <row r="83" customFormat="false" ht="18.15" hidden="false" customHeight="true" outlineLevel="0" collapsed="false">
      <c r="B83" s="30"/>
      <c r="C83" s="54"/>
      <c r="D83" s="44"/>
      <c r="E83" s="44"/>
      <c r="F83" s="44"/>
      <c r="G83" s="44"/>
      <c r="H83" s="44"/>
      <c r="I83" s="45"/>
      <c r="J83" s="45"/>
      <c r="K83" s="44"/>
      <c r="L83" s="44"/>
      <c r="M83" s="44"/>
      <c r="N83" s="44"/>
      <c r="O83" s="44"/>
    </row>
    <row r="84" customFormat="false" ht="22.7" hidden="false" customHeight="true" outlineLevel="0" collapsed="false">
      <c r="B84" s="3"/>
      <c r="C84" s="28" t="s">
        <v>66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customFormat="false" ht="2.85" hidden="false" customHeight="true" outlineLevel="0" collapsed="false">
      <c r="B85" s="3"/>
    </row>
    <row r="86" customFormat="false" ht="18.15" hidden="false" customHeight="true" outlineLevel="0" collapsed="false">
      <c r="B86" s="30"/>
      <c r="C86" s="31" t="str">
        <f aca="false">HYPERLINK("http://www.emi-penza.ru/p/109/", "19.3720")</f>
        <v>19.3720</v>
      </c>
      <c r="D86" s="32" t="s">
        <v>67</v>
      </c>
      <c r="E86" s="32"/>
      <c r="F86" s="32"/>
      <c r="G86" s="32"/>
      <c r="H86" s="32"/>
      <c r="I86" s="33" t="n">
        <v>17</v>
      </c>
      <c r="J86" s="33" t="n">
        <v>170</v>
      </c>
      <c r="K86" s="32"/>
      <c r="L86" s="32"/>
      <c r="M86" s="32"/>
      <c r="N86" s="32"/>
      <c r="O86" s="32"/>
    </row>
    <row r="87" customFormat="false" ht="18.15" hidden="false" customHeight="true" outlineLevel="0" collapsed="false">
      <c r="B87" s="30"/>
      <c r="C87" s="31" t="str">
        <f aca="false">HYPERLINK("http://www.emi-penza.ru/p/110/", "20.3720")</f>
        <v>20.3720</v>
      </c>
      <c r="D87" s="32" t="s">
        <v>68</v>
      </c>
      <c r="E87" s="32"/>
      <c r="F87" s="32"/>
      <c r="G87" s="32"/>
      <c r="H87" s="32"/>
      <c r="I87" s="33" t="n">
        <v>15</v>
      </c>
      <c r="J87" s="33" t="n">
        <v>170</v>
      </c>
      <c r="K87" s="32"/>
      <c r="L87" s="32"/>
      <c r="M87" s="32"/>
      <c r="N87" s="32"/>
      <c r="O87" s="32"/>
    </row>
    <row r="88" customFormat="false" ht="18.15" hidden="false" customHeight="true" outlineLevel="0" collapsed="false">
      <c r="B88" s="30"/>
      <c r="C88" s="31" t="str">
        <f aca="false">HYPERLINK("http://www.emi-penza.ru/p/20.3720-02", "20.3720-02")</f>
        <v>20.3720-02</v>
      </c>
      <c r="D88" s="32"/>
      <c r="E88" s="32"/>
      <c r="F88" s="32"/>
      <c r="G88" s="32"/>
      <c r="H88" s="32"/>
      <c r="I88" s="33" t="n">
        <v>17</v>
      </c>
      <c r="J88" s="33" t="n">
        <v>170</v>
      </c>
      <c r="K88" s="32"/>
      <c r="L88" s="32"/>
      <c r="M88" s="32"/>
      <c r="N88" s="32"/>
      <c r="O88" s="32"/>
    </row>
    <row r="89" customFormat="false" ht="18.15" hidden="false" customHeight="true" outlineLevel="0" collapsed="false">
      <c r="B89" s="30"/>
      <c r="C89" s="31" t="str">
        <f aca="false">HYPERLINK("http://www.emi-penza.ru/p/20.3720-03", "20.3720-03")</f>
        <v>20.3720-03</v>
      </c>
      <c r="D89" s="32"/>
      <c r="E89" s="32"/>
      <c r="F89" s="32"/>
      <c r="G89" s="32"/>
      <c r="H89" s="32"/>
      <c r="I89" s="33" t="n">
        <v>17</v>
      </c>
      <c r="J89" s="33" t="n">
        <v>150</v>
      </c>
      <c r="K89" s="32"/>
      <c r="L89" s="32"/>
      <c r="M89" s="32"/>
      <c r="N89" s="32"/>
      <c r="O89" s="32"/>
    </row>
    <row r="90" customFormat="false" ht="18.15" hidden="false" customHeight="true" outlineLevel="0" collapsed="false">
      <c r="B90" s="30"/>
      <c r="C90" s="31" t="s">
        <v>69</v>
      </c>
      <c r="D90" s="32"/>
      <c r="E90" s="32"/>
      <c r="F90" s="32"/>
      <c r="G90" s="32"/>
      <c r="H90" s="32"/>
      <c r="I90" s="33" t="n">
        <v>22</v>
      </c>
      <c r="J90" s="33" t="n">
        <v>150</v>
      </c>
      <c r="K90" s="32"/>
      <c r="L90" s="32"/>
      <c r="M90" s="32"/>
      <c r="N90" s="32"/>
      <c r="O90" s="32"/>
    </row>
    <row r="91" customFormat="false" ht="18.15" hidden="false" customHeight="true" outlineLevel="0" collapsed="false">
      <c r="B91" s="30"/>
      <c r="C91" s="31" t="str">
        <f aca="false">HYPERLINK("http://www.emi-penza.ru/p/130/", "25.3720")</f>
        <v>25.3720</v>
      </c>
      <c r="D91" s="32" t="s">
        <v>70</v>
      </c>
      <c r="E91" s="32"/>
      <c r="F91" s="32"/>
      <c r="G91" s="32"/>
      <c r="H91" s="32"/>
      <c r="I91" s="33" t="n">
        <v>19</v>
      </c>
      <c r="J91" s="33" t="n">
        <v>140</v>
      </c>
      <c r="K91" s="32"/>
      <c r="L91" s="32"/>
      <c r="M91" s="32"/>
      <c r="N91" s="32"/>
      <c r="O91" s="32"/>
    </row>
    <row r="92" customFormat="false" ht="18.15" hidden="false" customHeight="true" outlineLevel="0" collapsed="false">
      <c r="B92" s="30"/>
      <c r="C92" s="31" t="str">
        <f aca="false">HYPERLINK("http://www.emi-penza.ru/p/131/", "25.3720-01")</f>
        <v>25.3720-01</v>
      </c>
      <c r="D92" s="32" t="s">
        <v>71</v>
      </c>
      <c r="E92" s="32"/>
      <c r="F92" s="32"/>
      <c r="G92" s="32"/>
      <c r="H92" s="32"/>
      <c r="I92" s="33" t="n">
        <v>21</v>
      </c>
      <c r="J92" s="33" t="n">
        <v>120</v>
      </c>
      <c r="K92" s="32"/>
      <c r="L92" s="32"/>
      <c r="M92" s="32"/>
      <c r="N92" s="32"/>
      <c r="O92" s="32"/>
    </row>
    <row r="93" customFormat="false" ht="18.15" hidden="false" customHeight="true" outlineLevel="0" collapsed="false">
      <c r="B93" s="30"/>
      <c r="C93" s="31" t="str">
        <f aca="false">HYPERLINK("http://www.emi-penza.ru/p/132/", "25.3720-02")</f>
        <v>25.3720-02</v>
      </c>
      <c r="D93" s="32" t="s">
        <v>72</v>
      </c>
      <c r="E93" s="32"/>
      <c r="F93" s="32"/>
      <c r="G93" s="32"/>
      <c r="H93" s="32"/>
      <c r="I93" s="33" t="n">
        <v>20</v>
      </c>
      <c r="J93" s="33" t="n">
        <v>120</v>
      </c>
      <c r="K93" s="32"/>
      <c r="L93" s="32"/>
      <c r="M93" s="32"/>
      <c r="N93" s="32"/>
      <c r="O93" s="32"/>
    </row>
    <row r="94" customFormat="false" ht="18.15" hidden="false" customHeight="true" outlineLevel="0" collapsed="false">
      <c r="B94" s="30"/>
      <c r="C94" s="31" t="str">
        <f aca="false">HYPERLINK("http://www.emi-penza.ru/p/1302.3768_M", "1302.3768 М")</f>
        <v>1302.3768 М</v>
      </c>
      <c r="D94" s="32" t="s">
        <v>73</v>
      </c>
      <c r="E94" s="32"/>
      <c r="F94" s="32"/>
      <c r="G94" s="32"/>
      <c r="H94" s="32"/>
      <c r="I94" s="33" t="n">
        <v>30</v>
      </c>
      <c r="J94" s="33" t="n">
        <v>240</v>
      </c>
      <c r="K94" s="32"/>
      <c r="L94" s="32"/>
      <c r="M94" s="32"/>
      <c r="N94" s="32"/>
      <c r="O94" s="32"/>
    </row>
    <row r="95" customFormat="false" ht="18.15" hidden="false" customHeight="true" outlineLevel="0" collapsed="false">
      <c r="B95" s="30"/>
      <c r="C95" s="31" t="str">
        <f aca="false">HYPERLINK("http://www.emi-penza.ru/p/148/", "1312.3768-01")</f>
        <v>1312.3768-01</v>
      </c>
      <c r="D95" s="32" t="s">
        <v>74</v>
      </c>
      <c r="E95" s="32"/>
      <c r="F95" s="32"/>
      <c r="G95" s="32"/>
      <c r="H95" s="32"/>
      <c r="I95" s="33" t="n">
        <v>38</v>
      </c>
      <c r="J95" s="33" t="n">
        <v>160</v>
      </c>
      <c r="K95" s="32"/>
      <c r="L95" s="32"/>
      <c r="M95" s="32"/>
      <c r="N95" s="32"/>
      <c r="O95" s="32"/>
    </row>
    <row r="96" customFormat="false" ht="18.15" hidden="false" customHeight="true" outlineLevel="0" collapsed="false">
      <c r="B96" s="30"/>
      <c r="C96" s="31" t="str">
        <f aca="false">HYPERLINK("https://www.emi-penza.ru/p/1312.3768-01_var-02", "1312.3768-01 исп-02")</f>
        <v>1312.3768-01 исп-02</v>
      </c>
      <c r="D96" s="32"/>
      <c r="E96" s="32"/>
      <c r="F96" s="32" t="s">
        <v>75</v>
      </c>
      <c r="G96" s="32"/>
      <c r="H96" s="32"/>
      <c r="I96" s="33" t="n">
        <v>26</v>
      </c>
      <c r="J96" s="33" t="n">
        <v>240</v>
      </c>
      <c r="K96" s="32"/>
      <c r="L96" s="32"/>
      <c r="M96" s="32"/>
      <c r="N96" s="32"/>
      <c r="O96" s="32"/>
    </row>
    <row r="97" customFormat="false" ht="18.15" hidden="false" customHeight="true" outlineLevel="0" collapsed="false">
      <c r="B97" s="30"/>
      <c r="C97" s="31" t="str">
        <f aca="false">HYPERLINK("http://www.emi-penza.ru/p/147/", "1322.3768-01")</f>
        <v>1322.3768-01</v>
      </c>
      <c r="D97" s="32" t="s">
        <v>76</v>
      </c>
      <c r="E97" s="32"/>
      <c r="F97" s="32"/>
      <c r="G97" s="32"/>
      <c r="H97" s="32"/>
      <c r="I97" s="33" t="n">
        <v>36</v>
      </c>
      <c r="J97" s="33" t="n">
        <v>160</v>
      </c>
      <c r="K97" s="32"/>
      <c r="L97" s="32"/>
      <c r="M97" s="32"/>
      <c r="N97" s="32"/>
      <c r="O97" s="32"/>
    </row>
    <row r="98" customFormat="false" ht="18.15" hidden="false" customHeight="true" outlineLevel="0" collapsed="false">
      <c r="B98" s="30"/>
      <c r="C98" s="31" t="str">
        <f aca="false">HYPERLINK("http://www.emi-penza.ru/p/123/", "1332.3768")</f>
        <v>1332.3768</v>
      </c>
      <c r="D98" s="32" t="s">
        <v>77</v>
      </c>
      <c r="E98" s="32"/>
      <c r="F98" s="32"/>
      <c r="G98" s="32"/>
      <c r="H98" s="32"/>
      <c r="I98" s="33" t="n">
        <v>40</v>
      </c>
      <c r="J98" s="33" t="n">
        <v>160</v>
      </c>
      <c r="K98" s="32"/>
      <c r="L98" s="32"/>
      <c r="M98" s="32"/>
      <c r="N98" s="32"/>
      <c r="O98" s="32"/>
    </row>
    <row r="99" customFormat="false" ht="18.15" hidden="false" customHeight="true" outlineLevel="0" collapsed="false">
      <c r="B99" s="30"/>
      <c r="C99" s="31" t="str">
        <f aca="false">HYPERLINK("http://www.emi-penza.ru/p/135/", "1332.3768-01")</f>
        <v>1332.3768-01</v>
      </c>
      <c r="D99" s="32" t="s">
        <v>78</v>
      </c>
      <c r="E99" s="32"/>
      <c r="F99" s="32"/>
      <c r="G99" s="32"/>
      <c r="H99" s="32"/>
      <c r="I99" s="33" t="n">
        <v>35</v>
      </c>
      <c r="J99" s="33" t="n">
        <v>160</v>
      </c>
      <c r="K99" s="32"/>
      <c r="L99" s="32"/>
      <c r="M99" s="32"/>
      <c r="N99" s="32"/>
      <c r="O99" s="32"/>
    </row>
    <row r="100" customFormat="false" ht="18.15" hidden="false" customHeight="true" outlineLevel="0" collapsed="false">
      <c r="B100" s="30"/>
      <c r="C100" s="31" t="str">
        <f aca="false">HYPERLINK("http://www.emi-penza.ru/p/1332.3768-02", "1332.3768-02")</f>
        <v>1332.3768-02</v>
      </c>
      <c r="D100" s="32"/>
      <c r="E100" s="32"/>
      <c r="F100" s="32"/>
      <c r="G100" s="32"/>
      <c r="H100" s="32"/>
      <c r="I100" s="33" t="n">
        <v>35</v>
      </c>
      <c r="J100" s="33" t="n">
        <v>160</v>
      </c>
      <c r="K100" s="32"/>
      <c r="L100" s="32"/>
      <c r="M100" s="32"/>
      <c r="N100" s="32"/>
      <c r="O100" s="32"/>
    </row>
    <row r="101" customFormat="false" ht="18.15" hidden="false" customHeight="true" outlineLevel="0" collapsed="false">
      <c r="B101" s="30"/>
      <c r="C101" s="31" t="str">
        <f aca="false">HYPERLINK("http://www.emi-penza.ru/p/114/", "1342.3768")</f>
        <v>1342.3768</v>
      </c>
      <c r="D101" s="32" t="s">
        <v>79</v>
      </c>
      <c r="E101" s="32"/>
      <c r="F101" s="32"/>
      <c r="G101" s="32"/>
      <c r="H101" s="32"/>
      <c r="I101" s="33" t="n">
        <v>36</v>
      </c>
      <c r="J101" s="33"/>
      <c r="K101" s="32"/>
      <c r="L101" s="32" t="n">
        <v>240</v>
      </c>
      <c r="M101" s="32"/>
      <c r="N101" s="32"/>
      <c r="O101" s="32"/>
    </row>
    <row r="102" customFormat="false" ht="18.15" hidden="false" customHeight="true" outlineLevel="0" collapsed="false">
      <c r="A102" s="3"/>
      <c r="B102" s="30"/>
      <c r="C102" s="31" t="str">
        <f aca="false">HYPERLINK("http://www.emi-penza.ru/p/145/", "1342.3768-01")</f>
        <v>1342.3768-01</v>
      </c>
      <c r="D102" s="32" t="s">
        <v>80</v>
      </c>
      <c r="E102" s="32"/>
      <c r="F102" s="32"/>
      <c r="G102" s="32"/>
      <c r="H102" s="33"/>
      <c r="I102" s="33" t="n">
        <v>45</v>
      </c>
      <c r="J102" s="33"/>
      <c r="K102" s="32"/>
      <c r="L102" s="32" t="n">
        <v>171</v>
      </c>
      <c r="M102" s="33"/>
      <c r="N102" s="33"/>
      <c r="O102" s="33"/>
      <c r="P102" s="3"/>
    </row>
    <row r="103" customFormat="false" ht="18.15" hidden="false" customHeight="true" outlineLevel="0" collapsed="false">
      <c r="A103" s="3"/>
      <c r="B103" s="30"/>
      <c r="C103" s="31" t="str">
        <f aca="false">HYPERLINK("http://www.emi-penza.ru/p/146/", "1342.3768-02")</f>
        <v>1342.3768-02</v>
      </c>
      <c r="D103" s="32" t="s">
        <v>81</v>
      </c>
      <c r="E103" s="32"/>
      <c r="F103" s="32"/>
      <c r="G103" s="32"/>
      <c r="H103" s="33"/>
      <c r="I103" s="33" t="n">
        <v>40</v>
      </c>
      <c r="J103" s="33" t="n">
        <v>171</v>
      </c>
      <c r="K103" s="32"/>
      <c r="L103" s="32"/>
      <c r="M103" s="33"/>
      <c r="N103" s="33"/>
      <c r="O103" s="33"/>
      <c r="P103" s="3"/>
    </row>
    <row r="104" customFormat="false" ht="13.6" hidden="false" customHeight="true" outlineLevel="0" collapsed="false">
      <c r="B104" s="34"/>
      <c r="C104" s="35" t="str">
        <f aca="false">HYPERLINK("http://www.emi-penza.ru/p/158/", "1342.3768-06")</f>
        <v>1342.3768-06</v>
      </c>
      <c r="D104" s="36" t="s">
        <v>82</v>
      </c>
      <c r="E104" s="36"/>
      <c r="F104" s="36"/>
      <c r="G104" s="36"/>
      <c r="H104" s="57"/>
      <c r="I104" s="37" t="n">
        <v>41</v>
      </c>
      <c r="J104" s="37" t="n">
        <v>171</v>
      </c>
      <c r="K104" s="36"/>
      <c r="L104" s="36"/>
      <c r="M104" s="36"/>
      <c r="N104" s="36"/>
      <c r="O104" s="36"/>
    </row>
    <row r="105" customFormat="false" ht="15" hidden="false" customHeight="true" outlineLevel="0" collapsed="false">
      <c r="B105" s="3"/>
      <c r="C105" s="38"/>
      <c r="D105" s="58" t="s">
        <v>83</v>
      </c>
      <c r="E105" s="39"/>
      <c r="F105" s="39"/>
      <c r="G105" s="39"/>
      <c r="H105" s="50"/>
      <c r="I105" s="40"/>
      <c r="J105" s="40"/>
      <c r="K105" s="39"/>
      <c r="L105" s="39"/>
      <c r="M105" s="39"/>
      <c r="N105" s="39"/>
      <c r="O105" s="39"/>
    </row>
    <row r="106" customFormat="false" ht="13.6" hidden="false" customHeight="true" outlineLevel="0" collapsed="false">
      <c r="B106" s="34"/>
      <c r="C106" s="35" t="str">
        <f aca="false">HYPERLINK("http://www.emi-penza.ru/p/159/", "1342.3768-07")</f>
        <v>1342.3768-07</v>
      </c>
      <c r="D106" s="36" t="s">
        <v>84</v>
      </c>
      <c r="E106" s="36"/>
      <c r="F106" s="36"/>
      <c r="G106" s="36"/>
      <c r="H106" s="57"/>
      <c r="I106" s="37" t="n">
        <v>41</v>
      </c>
      <c r="J106" s="37"/>
      <c r="K106" s="36"/>
      <c r="L106" s="36" t="n">
        <v>171</v>
      </c>
      <c r="M106" s="36"/>
      <c r="N106" s="36"/>
      <c r="O106" s="36"/>
    </row>
    <row r="107" customFormat="false" ht="15" hidden="false" customHeight="true" outlineLevel="0" collapsed="false">
      <c r="B107" s="3"/>
      <c r="C107" s="38"/>
      <c r="D107" s="58" t="s">
        <v>85</v>
      </c>
      <c r="E107" s="39"/>
      <c r="F107" s="39"/>
      <c r="G107" s="39"/>
      <c r="H107" s="50"/>
      <c r="I107" s="40"/>
      <c r="J107" s="40"/>
      <c r="K107" s="39"/>
      <c r="L107" s="39"/>
      <c r="M107" s="39"/>
      <c r="N107" s="39"/>
      <c r="O107" s="39"/>
    </row>
    <row r="108" customFormat="false" ht="13.6" hidden="false" customHeight="true" outlineLevel="0" collapsed="false">
      <c r="B108" s="34"/>
      <c r="C108" s="35" t="str">
        <f aca="false">HYPERLINK("http://www.emi-penza.ru/p/118/", "1352.3768")</f>
        <v>1352.3768</v>
      </c>
      <c r="D108" s="36" t="s">
        <v>86</v>
      </c>
      <c r="E108" s="36"/>
      <c r="F108" s="36"/>
      <c r="G108" s="36"/>
      <c r="H108" s="57"/>
      <c r="I108" s="37" t="n">
        <v>38</v>
      </c>
      <c r="J108" s="37" t="n">
        <v>240</v>
      </c>
      <c r="K108" s="36"/>
      <c r="L108" s="36"/>
      <c r="M108" s="36"/>
      <c r="N108" s="36"/>
      <c r="O108" s="36"/>
    </row>
    <row r="109" customFormat="false" ht="15" hidden="false" customHeight="true" outlineLevel="0" collapsed="false">
      <c r="B109" s="3"/>
      <c r="C109" s="38"/>
      <c r="D109" s="58" t="s">
        <v>87</v>
      </c>
      <c r="E109" s="39"/>
      <c r="F109" s="39"/>
      <c r="G109" s="39"/>
      <c r="H109" s="50"/>
      <c r="I109" s="40"/>
      <c r="J109" s="40"/>
      <c r="K109" s="39"/>
      <c r="L109" s="39"/>
      <c r="M109" s="39"/>
      <c r="N109" s="39"/>
      <c r="O109" s="39"/>
    </row>
    <row r="110" customFormat="false" ht="18.15" hidden="false" customHeight="true" outlineLevel="0" collapsed="false">
      <c r="B110" s="30"/>
      <c r="C110" s="31" t="str">
        <f aca="false">HYPERLINK("http://www.emi-penza.ru/p/1352.3768-01_SO_M18", "1352.3768-01 СЗ М18")</f>
        <v>1352.3768-01 СЗ М18</v>
      </c>
      <c r="D110" s="32"/>
      <c r="E110" s="32"/>
      <c r="F110" s="32" t="s">
        <v>88</v>
      </c>
      <c r="G110" s="32"/>
      <c r="H110" s="32"/>
      <c r="I110" s="33" t="n">
        <v>52</v>
      </c>
      <c r="J110" s="33" t="n">
        <v>171</v>
      </c>
      <c r="K110" s="32"/>
      <c r="L110" s="32"/>
      <c r="M110" s="32"/>
      <c r="N110" s="32"/>
      <c r="O110" s="32"/>
    </row>
    <row r="111" customFormat="false" ht="13.6" hidden="false" customHeight="true" outlineLevel="0" collapsed="false">
      <c r="B111" s="34"/>
      <c r="C111" s="35" t="str">
        <f aca="false">HYPERLINK("http://www.emi-penza.ru/p/129/", "1352.3768-01")</f>
        <v>1352.3768-01</v>
      </c>
      <c r="D111" s="36" t="s">
        <v>89</v>
      </c>
      <c r="E111" s="36"/>
      <c r="F111" s="36"/>
      <c r="G111" s="36"/>
      <c r="H111" s="36"/>
      <c r="I111" s="37" t="n">
        <v>40</v>
      </c>
      <c r="J111" s="37" t="n">
        <v>171</v>
      </c>
      <c r="K111" s="36"/>
      <c r="L111" s="36"/>
      <c r="M111" s="36"/>
      <c r="N111" s="36"/>
      <c r="O111" s="36"/>
    </row>
    <row r="112" customFormat="false" ht="15" hidden="false" customHeight="true" outlineLevel="0" collapsed="false">
      <c r="B112" s="3"/>
      <c r="C112" s="38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</row>
    <row r="113" customFormat="false" ht="13.6" hidden="false" customHeight="true" outlineLevel="0" collapsed="false">
      <c r="B113" s="34"/>
      <c r="C113" s="35" t="str">
        <f aca="false">HYPERLINK("http://www.emi-penza.ru/p/140/", "1352.3768-02")</f>
        <v>1352.3768-02</v>
      </c>
      <c r="D113" s="36" t="s">
        <v>90</v>
      </c>
      <c r="E113" s="36"/>
      <c r="F113" s="36"/>
      <c r="G113" s="36"/>
      <c r="H113" s="57" t="s">
        <v>91</v>
      </c>
      <c r="I113" s="37" t="n">
        <v>44</v>
      </c>
      <c r="J113" s="37" t="n">
        <v>171</v>
      </c>
      <c r="K113" s="36"/>
      <c r="L113" s="36"/>
      <c r="M113" s="36"/>
      <c r="N113" s="36"/>
      <c r="O113" s="36"/>
    </row>
    <row r="114" customFormat="false" ht="15" hidden="false" customHeight="true" outlineLevel="0" collapsed="false">
      <c r="B114" s="3"/>
      <c r="C114" s="38"/>
      <c r="D114" s="39"/>
      <c r="E114" s="39"/>
      <c r="F114" s="39"/>
      <c r="G114" s="39"/>
      <c r="H114" s="50" t="s">
        <v>92</v>
      </c>
      <c r="I114" s="40" t="n">
        <v>44</v>
      </c>
      <c r="J114" s="40" t="n">
        <v>171</v>
      </c>
      <c r="K114" s="39"/>
      <c r="L114" s="39"/>
      <c r="M114" s="39"/>
      <c r="N114" s="39"/>
      <c r="O114" s="39"/>
    </row>
    <row r="115" customFormat="false" ht="18.15" hidden="false" customHeight="true" outlineLevel="0" collapsed="false">
      <c r="B115" s="30"/>
      <c r="C115" s="31" t="str">
        <f aca="false">HYPERLINK("http://www.emi-penza.ru/p/143/", "1352.3768-03")</f>
        <v>1352.3768-03</v>
      </c>
      <c r="D115" s="32" t="s">
        <v>93</v>
      </c>
      <c r="E115" s="32"/>
      <c r="F115" s="32"/>
      <c r="G115" s="32"/>
      <c r="H115" s="32"/>
      <c r="I115" s="33" t="n">
        <v>44</v>
      </c>
      <c r="J115" s="33" t="n">
        <v>171</v>
      </c>
      <c r="K115" s="32"/>
      <c r="L115" s="32"/>
      <c r="M115" s="32"/>
      <c r="N115" s="32"/>
      <c r="O115" s="32"/>
    </row>
    <row r="116" customFormat="false" ht="18.15" hidden="false" customHeight="true" outlineLevel="0" collapsed="false">
      <c r="B116" s="30"/>
      <c r="C116" s="31" t="str">
        <f aca="false">HYPERLINK("http://www.emi-penza.ru/p/1352.3768-04_SO_M18", "1352.3768-04 СЗ М18")</f>
        <v>1352.3768-04 СЗ М18</v>
      </c>
      <c r="D116" s="32"/>
      <c r="E116" s="32"/>
      <c r="F116" s="32" t="s">
        <v>94</v>
      </c>
      <c r="G116" s="32"/>
      <c r="H116" s="32"/>
      <c r="I116" s="33" t="n">
        <v>60</v>
      </c>
      <c r="J116" s="33" t="n">
        <v>114</v>
      </c>
      <c r="K116" s="32"/>
      <c r="L116" s="32"/>
      <c r="M116" s="32"/>
      <c r="N116" s="32"/>
      <c r="O116" s="32"/>
    </row>
    <row r="117" customFormat="false" ht="13.6" hidden="false" customHeight="true" outlineLevel="0" collapsed="false">
      <c r="B117" s="34"/>
      <c r="C117" s="35" t="str">
        <f aca="false">HYPERLINK("http://www.emi-penza.ru/p/154/", "1352.3768-05")</f>
        <v>1352.3768-05</v>
      </c>
      <c r="D117" s="36" t="s">
        <v>95</v>
      </c>
      <c r="E117" s="36"/>
      <c r="F117" s="36"/>
      <c r="G117" s="36"/>
      <c r="H117" s="57"/>
      <c r="I117" s="37" t="n">
        <v>41</v>
      </c>
      <c r="J117" s="37" t="n">
        <v>171</v>
      </c>
      <c r="K117" s="36"/>
      <c r="L117" s="36"/>
      <c r="M117" s="36"/>
      <c r="N117" s="36"/>
      <c r="O117" s="36"/>
    </row>
    <row r="118" customFormat="false" ht="15" hidden="false" customHeight="true" outlineLevel="0" collapsed="false">
      <c r="B118" s="3"/>
      <c r="C118" s="38"/>
      <c r="D118" s="39" t="s">
        <v>96</v>
      </c>
      <c r="E118" s="39"/>
      <c r="F118" s="39"/>
      <c r="G118" s="39"/>
      <c r="H118" s="50"/>
      <c r="I118" s="40"/>
      <c r="J118" s="40"/>
      <c r="K118" s="39"/>
      <c r="L118" s="39"/>
      <c r="M118" s="39"/>
      <c r="N118" s="39"/>
      <c r="O118" s="39"/>
    </row>
    <row r="119" customFormat="false" ht="18.15" hidden="false" customHeight="true" outlineLevel="0" collapsed="false">
      <c r="B119" s="30"/>
      <c r="C119" s="31" t="str">
        <f aca="false">HYPERLINK("http://www.emi-penza.ru/p/166/", "1352.3768-06")</f>
        <v>1352.3768-06</v>
      </c>
      <c r="D119" s="32"/>
      <c r="E119" s="32"/>
      <c r="F119" s="32"/>
      <c r="G119" s="32"/>
      <c r="H119" s="32"/>
      <c r="I119" s="33" t="n">
        <v>50</v>
      </c>
      <c r="J119" s="33"/>
      <c r="K119" s="32"/>
      <c r="L119" s="32" t="n">
        <v>171</v>
      </c>
      <c r="M119" s="32"/>
      <c r="N119" s="32"/>
      <c r="O119" s="32"/>
    </row>
    <row r="120" customFormat="false" ht="13.6" hidden="false" customHeight="true" outlineLevel="0" collapsed="false">
      <c r="B120" s="34"/>
      <c r="C120" s="35" t="str">
        <f aca="false">HYPERLINK("http://www.emi-penza.ru/p/155/", "1352.3768-07")</f>
        <v>1352.3768-07</v>
      </c>
      <c r="D120" s="36" t="s">
        <v>97</v>
      </c>
      <c r="E120" s="36"/>
      <c r="F120" s="36"/>
      <c r="G120" s="36"/>
      <c r="H120" s="57" t="s">
        <v>91</v>
      </c>
      <c r="I120" s="37" t="n">
        <v>41</v>
      </c>
      <c r="J120" s="37" t="n">
        <v>171</v>
      </c>
      <c r="K120" s="36"/>
      <c r="L120" s="36"/>
      <c r="M120" s="36"/>
      <c r="N120" s="36"/>
      <c r="O120" s="36"/>
    </row>
    <row r="121" customFormat="false" ht="15" hidden="false" customHeight="true" outlineLevel="0" collapsed="false">
      <c r="B121" s="3"/>
      <c r="C121" s="38"/>
      <c r="D121" s="39"/>
      <c r="E121" s="39"/>
      <c r="F121" s="39"/>
      <c r="G121" s="39"/>
      <c r="H121" s="50" t="s">
        <v>92</v>
      </c>
      <c r="I121" s="40" t="n">
        <v>41</v>
      </c>
      <c r="J121" s="40" t="n">
        <v>171</v>
      </c>
      <c r="K121" s="39"/>
      <c r="L121" s="39"/>
      <c r="M121" s="39"/>
      <c r="N121" s="39"/>
      <c r="O121" s="39"/>
    </row>
    <row r="122" customFormat="false" ht="18.15" hidden="false" customHeight="true" outlineLevel="0" collapsed="false">
      <c r="B122" s="30"/>
      <c r="C122" s="31" t="str">
        <f aca="false">HYPERLINK("http://www.emi-penza.ru/p/171/", "1352.3768-08")</f>
        <v>1352.3768-08</v>
      </c>
      <c r="D122" s="32"/>
      <c r="E122" s="32"/>
      <c r="F122" s="32"/>
      <c r="G122" s="32"/>
      <c r="H122" s="32"/>
      <c r="I122" s="33" t="n">
        <v>51</v>
      </c>
      <c r="J122" s="33" t="n">
        <v>50</v>
      </c>
      <c r="K122" s="32"/>
      <c r="L122" s="32"/>
      <c r="M122" s="32"/>
      <c r="N122" s="32"/>
      <c r="O122" s="32"/>
    </row>
    <row r="123" customFormat="false" ht="18.15" hidden="false" customHeight="true" outlineLevel="0" collapsed="false">
      <c r="B123" s="30"/>
      <c r="C123" s="31" t="str">
        <f aca="false">HYPERLINK("http://www.emi-penza.ru/p/1352.3768-08_SO", "1352.3768-08 СЗ")</f>
        <v>1352.3768-08 СЗ</v>
      </c>
      <c r="D123" s="32"/>
      <c r="E123" s="32"/>
      <c r="F123" s="32"/>
      <c r="G123" s="32"/>
      <c r="H123" s="32"/>
      <c r="I123" s="33" t="n">
        <v>51</v>
      </c>
      <c r="J123" s="33" t="n">
        <v>66</v>
      </c>
      <c r="K123" s="32"/>
      <c r="L123" s="32"/>
      <c r="M123" s="32"/>
      <c r="N123" s="32"/>
      <c r="O123" s="32"/>
    </row>
    <row r="124" customFormat="false" ht="13.6" hidden="false" customHeight="true" outlineLevel="0" collapsed="false">
      <c r="B124" s="34"/>
      <c r="C124" s="35" t="str">
        <f aca="false">HYPERLINK("http://www.emi-penza.ru/p/157/", "1352.3768-09")</f>
        <v>1352.3768-09</v>
      </c>
      <c r="D124" s="36" t="s">
        <v>98</v>
      </c>
      <c r="E124" s="36"/>
      <c r="F124" s="36"/>
      <c r="G124" s="36"/>
      <c r="H124" s="57"/>
      <c r="I124" s="37" t="n">
        <v>41</v>
      </c>
      <c r="J124" s="37" t="n">
        <v>171</v>
      </c>
      <c r="K124" s="36"/>
      <c r="L124" s="36"/>
      <c r="M124" s="36"/>
      <c r="N124" s="36"/>
      <c r="O124" s="36"/>
    </row>
    <row r="125" customFormat="false" ht="15" hidden="false" customHeight="true" outlineLevel="0" collapsed="false">
      <c r="B125" s="3"/>
      <c r="C125" s="38"/>
      <c r="D125" s="58" t="s">
        <v>99</v>
      </c>
      <c r="E125" s="39"/>
      <c r="F125" s="39"/>
      <c r="G125" s="39"/>
      <c r="H125" s="50"/>
      <c r="I125" s="40"/>
      <c r="J125" s="40"/>
      <c r="K125" s="39"/>
      <c r="L125" s="39"/>
      <c r="M125" s="39"/>
      <c r="N125" s="39"/>
      <c r="O125" s="39"/>
    </row>
    <row r="126" customFormat="false" ht="18.15" hidden="false" customHeight="true" outlineLevel="0" collapsed="false">
      <c r="B126" s="30"/>
      <c r="C126" s="31" t="str">
        <f aca="false">HYPERLINK("http://www.emi-penza.ru/p/172/", "1352.3768-10")</f>
        <v>1352.3768-10</v>
      </c>
      <c r="D126" s="32"/>
      <c r="E126" s="32"/>
      <c r="F126" s="32"/>
      <c r="G126" s="32"/>
      <c r="H126" s="32"/>
      <c r="I126" s="33" t="n">
        <v>41</v>
      </c>
      <c r="J126" s="33" t="n">
        <v>171</v>
      </c>
      <c r="K126" s="32"/>
      <c r="L126" s="32"/>
      <c r="M126" s="32"/>
      <c r="N126" s="32"/>
      <c r="O126" s="32"/>
    </row>
    <row r="127" customFormat="false" ht="18.15" hidden="false" customHeight="true" outlineLevel="0" collapsed="false">
      <c r="B127" s="30"/>
      <c r="C127" s="31" t="str">
        <f aca="false">HYPERLINK("https://www.emi-penza.ru/p/1352.3768-20", "1352.3768-20")</f>
        <v>1352.3768-20</v>
      </c>
      <c r="D127" s="32"/>
      <c r="E127" s="32"/>
      <c r="F127" s="32"/>
      <c r="G127" s="32"/>
      <c r="H127" s="32"/>
      <c r="I127" s="33" t="n">
        <v>40</v>
      </c>
      <c r="J127" s="33" t="n">
        <v>171</v>
      </c>
      <c r="K127" s="32"/>
      <c r="L127" s="32"/>
      <c r="M127" s="32"/>
      <c r="N127" s="32"/>
      <c r="O127" s="32"/>
    </row>
    <row r="128" customFormat="false" ht="18.15" hidden="false" customHeight="true" outlineLevel="0" collapsed="false">
      <c r="B128" s="30"/>
      <c r="C128" s="51" t="str">
        <f aca="false">HYPERLINK("http://www.emi-penza.ru/p/119/", "1362.3768")</f>
        <v>1362.3768</v>
      </c>
      <c r="D128" s="52" t="s">
        <v>100</v>
      </c>
      <c r="E128" s="52"/>
      <c r="F128" s="52"/>
      <c r="G128" s="52"/>
      <c r="H128" s="52"/>
      <c r="I128" s="53" t="n">
        <v>77</v>
      </c>
      <c r="J128" s="53"/>
      <c r="K128" s="52"/>
      <c r="L128" s="52" t="n">
        <v>160</v>
      </c>
      <c r="M128" s="52"/>
      <c r="N128" s="52"/>
      <c r="O128" s="52"/>
    </row>
    <row r="129" customFormat="false" ht="9.95" hidden="false" customHeight="true" outlineLevel="0" collapsed="false">
      <c r="B129" s="3"/>
    </row>
    <row r="130" customFormat="false" ht="22.7" hidden="false" customHeight="true" outlineLevel="0" collapsed="false">
      <c r="B130" s="3"/>
      <c r="C130" s="28" t="s">
        <v>101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59"/>
      <c r="O130" s="59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</row>
    <row r="131" customFormat="false" ht="2.85" hidden="false" customHeight="true" outlineLevel="0" collapsed="false">
      <c r="B131" s="3"/>
      <c r="N131" s="5"/>
      <c r="O131" s="5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</row>
    <row r="132" customFormat="false" ht="28.35" hidden="false" customHeight="true" outlineLevel="0" collapsed="false">
      <c r="A132" s="60"/>
      <c r="B132" s="61"/>
      <c r="C132" s="62" t="s">
        <v>102</v>
      </c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 t="n">
        <f aca="false">ROUND(N132*1.2, 2)</f>
        <v>0</v>
      </c>
      <c r="P132" s="60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  <c r="IX132" s="63"/>
      <c r="IY132" s="63"/>
      <c r="IZ132" s="63"/>
      <c r="JA132" s="63"/>
      <c r="JB132" s="63"/>
      <c r="JC132" s="63"/>
      <c r="JD132" s="63"/>
      <c r="JE132" s="63"/>
      <c r="JF132" s="63"/>
      <c r="JG132" s="63"/>
      <c r="JH132" s="63"/>
      <c r="JI132" s="63"/>
      <c r="JJ132" s="63"/>
      <c r="JK132" s="63"/>
      <c r="JL132" s="63"/>
      <c r="JM132" s="63"/>
      <c r="JN132" s="63"/>
      <c r="JO132" s="63"/>
      <c r="JP132" s="63"/>
      <c r="JQ132" s="63"/>
      <c r="JR132" s="63"/>
      <c r="JS132" s="63"/>
      <c r="JT132" s="63"/>
      <c r="JU132" s="63"/>
      <c r="JV132" s="63"/>
      <c r="JW132" s="63"/>
      <c r="JX132" s="63"/>
      <c r="JY132" s="63"/>
      <c r="JZ132" s="63"/>
      <c r="KA132" s="63"/>
      <c r="KB132" s="63"/>
      <c r="KC132" s="63"/>
      <c r="KD132" s="63"/>
      <c r="KE132" s="63"/>
      <c r="KF132" s="63"/>
      <c r="KG132" s="63"/>
      <c r="KH132" s="63"/>
      <c r="KI132" s="63"/>
      <c r="KJ132" s="63"/>
      <c r="KK132" s="63"/>
      <c r="KL132" s="63"/>
      <c r="KM132" s="63"/>
      <c r="KN132" s="63"/>
      <c r="KO132" s="63"/>
      <c r="KP132" s="63"/>
      <c r="KQ132" s="63"/>
      <c r="KR132" s="63"/>
      <c r="KS132" s="63"/>
      <c r="KT132" s="63"/>
      <c r="KU132" s="63"/>
      <c r="KV132" s="63"/>
      <c r="KW132" s="63"/>
      <c r="KX132" s="63"/>
      <c r="KY132" s="63"/>
      <c r="KZ132" s="63"/>
      <c r="LA132" s="63"/>
      <c r="LB132" s="63"/>
      <c r="LC132" s="63"/>
      <c r="LD132" s="63"/>
      <c r="LE132" s="63"/>
      <c r="LF132" s="63"/>
      <c r="LG132" s="63"/>
      <c r="LH132" s="63"/>
      <c r="LI132" s="63"/>
      <c r="LJ132" s="63"/>
      <c r="LK132" s="63"/>
      <c r="LL132" s="63"/>
      <c r="LM132" s="63"/>
      <c r="LN132" s="63"/>
      <c r="LO132" s="63"/>
      <c r="LP132" s="63"/>
      <c r="LQ132" s="63"/>
      <c r="LR132" s="63"/>
      <c r="LS132" s="63"/>
      <c r="LT132" s="63"/>
      <c r="LU132" s="63"/>
      <c r="LV132" s="63"/>
      <c r="LW132" s="63"/>
      <c r="LX132" s="63"/>
      <c r="LY132" s="63"/>
      <c r="LZ132" s="63"/>
      <c r="MA132" s="63"/>
      <c r="MB132" s="63"/>
      <c r="MC132" s="63"/>
      <c r="MD132" s="63"/>
      <c r="ME132" s="63"/>
      <c r="MF132" s="63"/>
      <c r="MG132" s="63"/>
      <c r="MH132" s="63"/>
      <c r="MI132" s="63"/>
      <c r="MJ132" s="63"/>
      <c r="MK132" s="63"/>
      <c r="ML132" s="63"/>
      <c r="MM132" s="63"/>
      <c r="MN132" s="63"/>
      <c r="MO132" s="63"/>
      <c r="MP132" s="63"/>
      <c r="MQ132" s="63"/>
      <c r="MR132" s="63"/>
      <c r="MS132" s="63"/>
      <c r="MT132" s="63"/>
      <c r="MU132" s="63"/>
      <c r="MV132" s="63"/>
      <c r="MW132" s="63"/>
      <c r="MX132" s="63"/>
      <c r="MY132" s="63"/>
      <c r="MZ132" s="63"/>
      <c r="NA132" s="63"/>
      <c r="NB132" s="63"/>
      <c r="NC132" s="63"/>
      <c r="ND132" s="63"/>
      <c r="NE132" s="63"/>
      <c r="NF132" s="63"/>
      <c r="NG132" s="63"/>
      <c r="NH132" s="63"/>
      <c r="NI132" s="63"/>
      <c r="NJ132" s="63"/>
      <c r="NK132" s="63"/>
      <c r="NL132" s="63"/>
      <c r="NM132" s="63"/>
      <c r="NN132" s="63"/>
      <c r="NO132" s="63"/>
      <c r="NP132" s="63"/>
      <c r="NQ132" s="63"/>
      <c r="NR132" s="63"/>
      <c r="NS132" s="63"/>
      <c r="NT132" s="63"/>
      <c r="NU132" s="63"/>
      <c r="NV132" s="63"/>
      <c r="NW132" s="63"/>
      <c r="NX132" s="63"/>
      <c r="NY132" s="63"/>
      <c r="NZ132" s="63"/>
      <c r="OA132" s="63"/>
      <c r="OB132" s="63"/>
      <c r="OC132" s="63"/>
      <c r="OD132" s="63"/>
      <c r="OE132" s="63"/>
      <c r="OF132" s="63"/>
      <c r="OG132" s="63"/>
      <c r="OH132" s="63"/>
      <c r="OI132" s="63"/>
      <c r="OJ132" s="63"/>
      <c r="OK132" s="63"/>
      <c r="OL132" s="63"/>
      <c r="OM132" s="63"/>
      <c r="ON132" s="63"/>
      <c r="OO132" s="63"/>
      <c r="OP132" s="63"/>
      <c r="OQ132" s="63"/>
      <c r="OR132" s="63"/>
      <c r="OS132" s="63"/>
      <c r="OT132" s="63"/>
      <c r="OU132" s="63"/>
      <c r="OV132" s="63"/>
      <c r="OW132" s="63"/>
      <c r="OX132" s="63"/>
      <c r="OY132" s="63"/>
      <c r="OZ132" s="63"/>
      <c r="PA132" s="63"/>
      <c r="PB132" s="63"/>
      <c r="PC132" s="63"/>
      <c r="PD132" s="63"/>
      <c r="PE132" s="63"/>
      <c r="PF132" s="63"/>
      <c r="PG132" s="63"/>
      <c r="PH132" s="63"/>
      <c r="PI132" s="63"/>
      <c r="PJ132" s="63"/>
      <c r="PK132" s="63"/>
      <c r="PL132" s="63"/>
      <c r="PM132" s="63"/>
      <c r="PN132" s="63"/>
      <c r="PO132" s="63"/>
      <c r="PP132" s="63"/>
      <c r="PQ132" s="63"/>
      <c r="PR132" s="63"/>
      <c r="PS132" s="63"/>
      <c r="PT132" s="63"/>
      <c r="PU132" s="63"/>
      <c r="PV132" s="63"/>
      <c r="PW132" s="63"/>
      <c r="PX132" s="63"/>
      <c r="PY132" s="63"/>
      <c r="PZ132" s="63"/>
      <c r="QA132" s="63"/>
      <c r="QB132" s="63"/>
      <c r="QC132" s="63"/>
      <c r="QD132" s="63"/>
      <c r="QE132" s="63"/>
      <c r="QF132" s="63"/>
      <c r="QG132" s="63"/>
      <c r="QH132" s="63"/>
      <c r="QI132" s="63"/>
      <c r="QJ132" s="63"/>
      <c r="QK132" s="63"/>
      <c r="QL132" s="63"/>
      <c r="QM132" s="63"/>
      <c r="QN132" s="63"/>
      <c r="QO132" s="63"/>
      <c r="QP132" s="63"/>
      <c r="QQ132" s="63"/>
      <c r="QR132" s="63"/>
      <c r="QS132" s="63"/>
      <c r="QT132" s="63"/>
      <c r="QU132" s="63"/>
      <c r="QV132" s="63"/>
      <c r="QW132" s="63"/>
      <c r="QX132" s="63"/>
      <c r="QY132" s="63"/>
      <c r="QZ132" s="63"/>
      <c r="RA132" s="63"/>
      <c r="RB132" s="63"/>
      <c r="RC132" s="63"/>
      <c r="RD132" s="63"/>
      <c r="RE132" s="63"/>
      <c r="RF132" s="63"/>
      <c r="RG132" s="63"/>
      <c r="RH132" s="63"/>
      <c r="RI132" s="63"/>
      <c r="RJ132" s="63"/>
      <c r="RK132" s="63"/>
      <c r="RL132" s="63"/>
      <c r="RM132" s="63"/>
      <c r="RN132" s="63"/>
      <c r="RO132" s="63"/>
      <c r="RP132" s="63"/>
      <c r="RQ132" s="63"/>
      <c r="RR132" s="63"/>
      <c r="RS132" s="63"/>
      <c r="RT132" s="63"/>
      <c r="RU132" s="63"/>
      <c r="RV132" s="63"/>
      <c r="RW132" s="63"/>
      <c r="RX132" s="63"/>
      <c r="RY132" s="63"/>
      <c r="RZ132" s="63"/>
      <c r="SA132" s="63"/>
      <c r="SB132" s="63"/>
      <c r="SC132" s="63"/>
      <c r="SD132" s="63"/>
      <c r="SE132" s="63"/>
      <c r="SF132" s="63"/>
      <c r="SG132" s="63"/>
      <c r="SH132" s="63"/>
      <c r="SI132" s="63"/>
      <c r="SJ132" s="63"/>
      <c r="SK132" s="63"/>
      <c r="SL132" s="63"/>
      <c r="SM132" s="63"/>
      <c r="SN132" s="63"/>
      <c r="SO132" s="63"/>
      <c r="SP132" s="63"/>
      <c r="SQ132" s="63"/>
      <c r="SR132" s="63"/>
      <c r="SS132" s="63"/>
      <c r="ST132" s="63"/>
      <c r="SU132" s="63"/>
      <c r="SV132" s="63"/>
      <c r="SW132" s="63"/>
      <c r="SX132" s="63"/>
      <c r="SY132" s="63"/>
      <c r="SZ132" s="63"/>
      <c r="TA132" s="63"/>
      <c r="TB132" s="63"/>
      <c r="TC132" s="63"/>
      <c r="TD132" s="63"/>
      <c r="TE132" s="63"/>
      <c r="TF132" s="63"/>
      <c r="TG132" s="63"/>
      <c r="TH132" s="63"/>
      <c r="TI132" s="63"/>
      <c r="TJ132" s="63"/>
      <c r="TK132" s="63"/>
      <c r="TL132" s="63"/>
      <c r="TM132" s="63"/>
      <c r="TN132" s="63"/>
      <c r="TO132" s="63"/>
      <c r="TP132" s="63"/>
      <c r="TQ132" s="63"/>
      <c r="TR132" s="63"/>
      <c r="TS132" s="63"/>
      <c r="TT132" s="63"/>
      <c r="TU132" s="63"/>
      <c r="TV132" s="63"/>
      <c r="TW132" s="63"/>
      <c r="TX132" s="63"/>
      <c r="TY132" s="63"/>
      <c r="TZ132" s="63"/>
      <c r="UA132" s="63"/>
      <c r="UB132" s="63"/>
      <c r="UC132" s="63"/>
      <c r="UD132" s="63"/>
      <c r="UE132" s="63"/>
      <c r="UF132" s="63"/>
      <c r="UG132" s="63"/>
      <c r="UH132" s="63"/>
      <c r="UI132" s="63"/>
      <c r="UJ132" s="63"/>
      <c r="UK132" s="63"/>
      <c r="UL132" s="63"/>
      <c r="UM132" s="63"/>
      <c r="UN132" s="63"/>
      <c r="UO132" s="63"/>
      <c r="UP132" s="63"/>
      <c r="UQ132" s="63"/>
      <c r="UR132" s="63"/>
      <c r="US132" s="63"/>
      <c r="UT132" s="63"/>
      <c r="UU132" s="63"/>
      <c r="UV132" s="63"/>
      <c r="UW132" s="63"/>
      <c r="UX132" s="63"/>
      <c r="UY132" s="63"/>
      <c r="UZ132" s="63"/>
      <c r="VA132" s="63"/>
      <c r="VB132" s="63"/>
      <c r="VC132" s="63"/>
      <c r="VD132" s="63"/>
      <c r="VE132" s="63"/>
      <c r="VF132" s="63"/>
      <c r="VG132" s="63"/>
      <c r="VH132" s="63"/>
      <c r="VI132" s="63"/>
      <c r="VJ132" s="63"/>
      <c r="VK132" s="63"/>
      <c r="VL132" s="63"/>
      <c r="VM132" s="63"/>
      <c r="VN132" s="63"/>
      <c r="VO132" s="63"/>
      <c r="VP132" s="63"/>
      <c r="VQ132" s="63"/>
      <c r="VR132" s="63"/>
      <c r="VS132" s="63"/>
      <c r="VT132" s="63"/>
      <c r="VU132" s="63"/>
      <c r="VV132" s="63"/>
      <c r="VW132" s="63"/>
      <c r="VX132" s="63"/>
      <c r="VY132" s="63"/>
      <c r="VZ132" s="63"/>
      <c r="WA132" s="63"/>
      <c r="WB132" s="63"/>
      <c r="WC132" s="63"/>
      <c r="WD132" s="63"/>
      <c r="WE132" s="63"/>
      <c r="WF132" s="63"/>
      <c r="WG132" s="63"/>
      <c r="WH132" s="63"/>
      <c r="WI132" s="63"/>
      <c r="WJ132" s="63"/>
      <c r="WK132" s="63"/>
      <c r="WL132" s="63"/>
      <c r="WM132" s="63"/>
      <c r="WN132" s="63"/>
      <c r="WO132" s="63"/>
      <c r="WP132" s="63"/>
      <c r="WQ132" s="63"/>
      <c r="WR132" s="63"/>
      <c r="WS132" s="63"/>
      <c r="WT132" s="63"/>
      <c r="WU132" s="63"/>
      <c r="WV132" s="63"/>
      <c r="WW132" s="63"/>
      <c r="WX132" s="63"/>
      <c r="WY132" s="63"/>
      <c r="WZ132" s="63"/>
      <c r="XA132" s="63"/>
      <c r="XB132" s="63"/>
      <c r="XC132" s="63"/>
      <c r="XD132" s="63"/>
      <c r="XE132" s="63"/>
      <c r="XF132" s="63"/>
      <c r="XG132" s="63"/>
      <c r="XH132" s="63"/>
      <c r="XI132" s="63"/>
      <c r="XJ132" s="63"/>
      <c r="XK132" s="63"/>
      <c r="XL132" s="63"/>
      <c r="XM132" s="63"/>
      <c r="XN132" s="63"/>
      <c r="XO132" s="63"/>
      <c r="XP132" s="63"/>
      <c r="XQ132" s="63"/>
      <c r="XR132" s="63"/>
      <c r="XS132" s="63"/>
      <c r="XT132" s="63"/>
      <c r="XU132" s="63"/>
      <c r="XV132" s="63"/>
      <c r="XW132" s="63"/>
      <c r="XX132" s="63"/>
      <c r="XY132" s="63"/>
      <c r="XZ132" s="63"/>
      <c r="YA132" s="63"/>
      <c r="YB132" s="63"/>
      <c r="YC132" s="63"/>
      <c r="YD132" s="63"/>
      <c r="YE132" s="63"/>
      <c r="YF132" s="63"/>
      <c r="YG132" s="63"/>
      <c r="YH132" s="63"/>
      <c r="YI132" s="63"/>
      <c r="YJ132" s="63"/>
      <c r="YK132" s="63"/>
      <c r="YL132" s="63"/>
      <c r="YM132" s="63"/>
      <c r="YN132" s="63"/>
      <c r="YO132" s="63"/>
      <c r="YP132" s="63"/>
      <c r="YQ132" s="63"/>
      <c r="YR132" s="63"/>
      <c r="YS132" s="63"/>
      <c r="YT132" s="63"/>
      <c r="YU132" s="63"/>
      <c r="YV132" s="63"/>
      <c r="YW132" s="63"/>
      <c r="YX132" s="63"/>
      <c r="YY132" s="63"/>
      <c r="YZ132" s="63"/>
      <c r="ZA132" s="63"/>
      <c r="ZB132" s="63"/>
      <c r="ZC132" s="63"/>
      <c r="ZD132" s="63"/>
      <c r="ZE132" s="63"/>
      <c r="ZF132" s="63"/>
      <c r="ZG132" s="63"/>
      <c r="ZH132" s="63"/>
      <c r="ZI132" s="63"/>
      <c r="ZJ132" s="63"/>
      <c r="ZK132" s="63"/>
      <c r="ZL132" s="63"/>
      <c r="ZM132" s="63"/>
      <c r="ZN132" s="63"/>
      <c r="ZO132" s="63"/>
      <c r="ZP132" s="63"/>
      <c r="ZQ132" s="63"/>
      <c r="ZR132" s="63"/>
      <c r="ZS132" s="63"/>
      <c r="ZT132" s="63"/>
      <c r="ZU132" s="63"/>
      <c r="ZV132" s="63"/>
      <c r="ZW132" s="63"/>
      <c r="ZX132" s="63"/>
      <c r="ZY132" s="63"/>
      <c r="ZZ132" s="63"/>
      <c r="AAA132" s="63"/>
      <c r="AAB132" s="63"/>
      <c r="AAC132" s="63"/>
      <c r="AAD132" s="63"/>
      <c r="AAE132" s="63"/>
      <c r="AAF132" s="63"/>
      <c r="AAG132" s="63"/>
      <c r="AAH132" s="63"/>
      <c r="AAI132" s="63"/>
      <c r="AAJ132" s="63"/>
      <c r="AAK132" s="63"/>
      <c r="AAL132" s="63"/>
      <c r="AAM132" s="63"/>
      <c r="AAN132" s="63"/>
      <c r="AAO132" s="63"/>
      <c r="AAP132" s="63"/>
      <c r="AAQ132" s="63"/>
      <c r="AAR132" s="63"/>
      <c r="AAS132" s="63"/>
      <c r="AAT132" s="63"/>
      <c r="AAU132" s="63"/>
      <c r="AAV132" s="63"/>
      <c r="AAW132" s="63"/>
      <c r="AAX132" s="63"/>
      <c r="AAY132" s="63"/>
      <c r="AAZ132" s="63"/>
      <c r="ABA132" s="63"/>
      <c r="ABB132" s="63"/>
      <c r="ABC132" s="63"/>
      <c r="ABD132" s="63"/>
      <c r="ABE132" s="63"/>
      <c r="ABF132" s="63"/>
      <c r="ABG132" s="63"/>
      <c r="ABH132" s="63"/>
      <c r="ABI132" s="63"/>
      <c r="ABJ132" s="63"/>
      <c r="ABK132" s="63"/>
      <c r="ABL132" s="63"/>
      <c r="ABM132" s="63"/>
      <c r="ABN132" s="63"/>
      <c r="ABO132" s="63"/>
      <c r="ABP132" s="63"/>
      <c r="ABQ132" s="63"/>
      <c r="ABR132" s="63"/>
      <c r="ABS132" s="63"/>
      <c r="ABT132" s="63"/>
      <c r="ABU132" s="63"/>
      <c r="ABV132" s="63"/>
      <c r="ABW132" s="63"/>
      <c r="ABX132" s="63"/>
      <c r="ABY132" s="63"/>
      <c r="ABZ132" s="63"/>
      <c r="ACA132" s="63"/>
      <c r="ACB132" s="63"/>
      <c r="ACC132" s="63"/>
      <c r="ACD132" s="63"/>
      <c r="ACE132" s="63"/>
      <c r="ACF132" s="63"/>
      <c r="ACG132" s="63"/>
      <c r="ACH132" s="63"/>
      <c r="ACI132" s="63"/>
      <c r="ACJ132" s="63"/>
      <c r="ACK132" s="63"/>
      <c r="ACL132" s="63"/>
      <c r="ACM132" s="63"/>
      <c r="ACN132" s="63"/>
      <c r="ACO132" s="63"/>
      <c r="ACP132" s="63"/>
      <c r="ACQ132" s="63"/>
      <c r="ACR132" s="63"/>
      <c r="ACS132" s="63"/>
      <c r="ACT132" s="63"/>
      <c r="ACU132" s="63"/>
      <c r="ACV132" s="63"/>
      <c r="ACW132" s="63"/>
      <c r="ACX132" s="63"/>
      <c r="ACY132" s="63"/>
      <c r="ACZ132" s="63"/>
      <c r="ADA132" s="63"/>
      <c r="ADB132" s="63"/>
      <c r="ADC132" s="63"/>
      <c r="ADD132" s="63"/>
      <c r="ADE132" s="63"/>
      <c r="ADF132" s="63"/>
      <c r="ADG132" s="63"/>
      <c r="ADH132" s="63"/>
      <c r="ADI132" s="63"/>
      <c r="ADJ132" s="63"/>
      <c r="ADK132" s="63"/>
      <c r="ADL132" s="63"/>
      <c r="ADM132" s="63"/>
      <c r="ADN132" s="63"/>
      <c r="ADO132" s="63"/>
      <c r="ADP132" s="63"/>
      <c r="ADQ132" s="63"/>
      <c r="ADR132" s="63"/>
      <c r="ADS132" s="63"/>
      <c r="ADT132" s="63"/>
      <c r="ADU132" s="63"/>
      <c r="ADV132" s="63"/>
      <c r="ADW132" s="63"/>
      <c r="ADX132" s="63"/>
      <c r="ADY132" s="63"/>
      <c r="ADZ132" s="63"/>
      <c r="AEA132" s="63"/>
      <c r="AEB132" s="63"/>
      <c r="AEC132" s="63"/>
      <c r="AED132" s="63"/>
      <c r="AEE132" s="63"/>
      <c r="AEF132" s="63"/>
      <c r="AEG132" s="63"/>
      <c r="AEH132" s="63"/>
      <c r="AEI132" s="63"/>
      <c r="AEJ132" s="63"/>
      <c r="AEK132" s="63"/>
      <c r="AEL132" s="63"/>
      <c r="AEM132" s="63"/>
      <c r="AEN132" s="63"/>
      <c r="AEO132" s="63"/>
      <c r="AEP132" s="63"/>
      <c r="AEQ132" s="63"/>
      <c r="AER132" s="63"/>
      <c r="AES132" s="63"/>
      <c r="AET132" s="63"/>
      <c r="AEU132" s="63"/>
      <c r="AEV132" s="63"/>
      <c r="AEW132" s="63"/>
      <c r="AEX132" s="63"/>
      <c r="AEY132" s="63"/>
      <c r="AEZ132" s="63"/>
      <c r="AFA132" s="63"/>
      <c r="AFB132" s="63"/>
      <c r="AFC132" s="63"/>
      <c r="AFD132" s="63"/>
      <c r="AFE132" s="63"/>
      <c r="AFF132" s="63"/>
      <c r="AFG132" s="63"/>
      <c r="AFH132" s="63"/>
      <c r="AFI132" s="63"/>
      <c r="AFJ132" s="63"/>
      <c r="AFK132" s="63"/>
      <c r="AFL132" s="63"/>
      <c r="AFM132" s="63"/>
      <c r="AFN132" s="63"/>
      <c r="AFO132" s="63"/>
      <c r="AFP132" s="63"/>
      <c r="AFQ132" s="63"/>
      <c r="AFR132" s="63"/>
      <c r="AFS132" s="63"/>
      <c r="AFT132" s="63"/>
      <c r="AFU132" s="63"/>
      <c r="AFV132" s="63"/>
      <c r="AFW132" s="63"/>
      <c r="AFX132" s="63"/>
      <c r="AFY132" s="63"/>
      <c r="AFZ132" s="63"/>
      <c r="AGA132" s="63"/>
      <c r="AGB132" s="63"/>
      <c r="AGC132" s="63"/>
      <c r="AGD132" s="63"/>
      <c r="AGE132" s="63"/>
      <c r="AGF132" s="63"/>
      <c r="AGG132" s="63"/>
      <c r="AGH132" s="63"/>
      <c r="AGI132" s="63"/>
      <c r="AGJ132" s="63"/>
      <c r="AGK132" s="63"/>
      <c r="AGL132" s="63"/>
      <c r="AGM132" s="63"/>
      <c r="AGN132" s="63"/>
      <c r="AGO132" s="63"/>
      <c r="AGP132" s="63"/>
      <c r="AGQ132" s="63"/>
      <c r="AGR132" s="63"/>
      <c r="AGS132" s="63"/>
      <c r="AGT132" s="63"/>
      <c r="AGU132" s="63"/>
      <c r="AGV132" s="63"/>
      <c r="AGW132" s="63"/>
      <c r="AGX132" s="63"/>
      <c r="AGY132" s="63"/>
      <c r="AGZ132" s="63"/>
      <c r="AHA132" s="63"/>
      <c r="AHB132" s="63"/>
      <c r="AHC132" s="63"/>
      <c r="AHD132" s="63"/>
      <c r="AHE132" s="63"/>
      <c r="AHF132" s="63"/>
      <c r="AHG132" s="63"/>
      <c r="AHH132" s="63"/>
      <c r="AHI132" s="63"/>
      <c r="AHJ132" s="63"/>
      <c r="AHK132" s="63"/>
      <c r="AHL132" s="63"/>
      <c r="AHM132" s="63"/>
      <c r="AHN132" s="63"/>
      <c r="AHO132" s="63"/>
      <c r="AHP132" s="63"/>
      <c r="AHQ132" s="63"/>
      <c r="AHR132" s="63"/>
      <c r="AHS132" s="63"/>
      <c r="AHT132" s="63"/>
      <c r="AHU132" s="63"/>
      <c r="AHV132" s="63"/>
      <c r="AHW132" s="63"/>
      <c r="AHX132" s="63"/>
      <c r="AHY132" s="63"/>
      <c r="AHZ132" s="63"/>
      <c r="AIA132" s="63"/>
      <c r="AIB132" s="63"/>
      <c r="AIC132" s="63"/>
      <c r="AID132" s="63"/>
      <c r="AIE132" s="63"/>
      <c r="AIF132" s="63"/>
      <c r="AIG132" s="63"/>
      <c r="AIH132" s="63"/>
      <c r="AII132" s="63"/>
      <c r="AIJ132" s="63"/>
      <c r="AIK132" s="63"/>
      <c r="AIL132" s="63"/>
      <c r="AIM132" s="63"/>
      <c r="AIN132" s="63"/>
      <c r="AIO132" s="63"/>
      <c r="AIP132" s="63"/>
      <c r="AIQ132" s="63"/>
      <c r="AIR132" s="63"/>
      <c r="AIS132" s="63"/>
      <c r="AIT132" s="63"/>
      <c r="AIU132" s="63"/>
      <c r="AIV132" s="63"/>
      <c r="AIW132" s="63"/>
      <c r="AIX132" s="63"/>
      <c r="AIY132" s="63"/>
      <c r="AIZ132" s="63"/>
      <c r="AJA132" s="63"/>
      <c r="AJB132" s="63"/>
      <c r="AJC132" s="63"/>
      <c r="AJD132" s="63"/>
      <c r="AJE132" s="63"/>
      <c r="AJF132" s="63"/>
      <c r="AJG132" s="63"/>
      <c r="AJH132" s="63"/>
      <c r="AJI132" s="63"/>
      <c r="AJJ132" s="63"/>
      <c r="AJK132" s="63"/>
      <c r="AJL132" s="63"/>
      <c r="AJM132" s="63"/>
      <c r="AJN132" s="63"/>
      <c r="AJO132" s="63"/>
      <c r="AJP132" s="63"/>
      <c r="AJQ132" s="63"/>
      <c r="AJR132" s="63"/>
      <c r="AJS132" s="63"/>
      <c r="AJT132" s="63"/>
      <c r="AJU132" s="63"/>
      <c r="AJV132" s="63"/>
      <c r="AJW132" s="63"/>
      <c r="AJX132" s="63"/>
      <c r="AJY132" s="63"/>
      <c r="AJZ132" s="63"/>
      <c r="AKA132" s="63"/>
      <c r="AKB132" s="63"/>
      <c r="AKC132" s="63"/>
      <c r="AKD132" s="63"/>
      <c r="AKE132" s="63"/>
      <c r="AKF132" s="63"/>
      <c r="AKG132" s="63"/>
      <c r="AKH132" s="63"/>
      <c r="AKI132" s="63"/>
      <c r="AKJ132" s="63"/>
      <c r="AKK132" s="63"/>
      <c r="AKL132" s="63"/>
      <c r="AKM132" s="63"/>
      <c r="AKN132" s="63"/>
      <c r="AKO132" s="63"/>
      <c r="AKP132" s="63"/>
      <c r="AKQ132" s="63"/>
      <c r="AKR132" s="63"/>
      <c r="AKS132" s="63"/>
      <c r="AKT132" s="63"/>
      <c r="AKU132" s="63"/>
      <c r="AKV132" s="63"/>
      <c r="AKW132" s="63"/>
      <c r="AKX132" s="63"/>
      <c r="AKY132" s="63"/>
      <c r="AKZ132" s="63"/>
      <c r="ALA132" s="63"/>
      <c r="ALB132" s="63"/>
      <c r="ALC132" s="63"/>
      <c r="ALD132" s="63"/>
      <c r="ALE132" s="63"/>
      <c r="ALF132" s="63"/>
      <c r="ALG132" s="63"/>
      <c r="ALH132" s="63"/>
      <c r="ALI132" s="63"/>
      <c r="ALJ132" s="63"/>
    </row>
    <row r="133" customFormat="false" ht="18.75" hidden="false" customHeight="true" outlineLevel="0" collapsed="false">
      <c r="B133" s="56"/>
      <c r="O133" s="5"/>
    </row>
    <row r="134" customFormat="false" ht="5.65" hidden="false" customHeight="true" outlineLevel="0" collapsed="false">
      <c r="B134" s="3"/>
      <c r="O134" s="5"/>
    </row>
    <row r="135" customFormat="false" ht="18.15" hidden="false" customHeight="true" outlineLevel="0" collapsed="false">
      <c r="B135" s="30"/>
      <c r="C135" s="31" t="s">
        <v>103</v>
      </c>
      <c r="D135" s="32"/>
      <c r="E135" s="32"/>
      <c r="F135" s="32"/>
      <c r="G135" s="32"/>
      <c r="H135" s="32"/>
      <c r="I135" s="33" t="n">
        <v>47</v>
      </c>
      <c r="J135" s="33" t="n">
        <v>171</v>
      </c>
      <c r="K135" s="32"/>
      <c r="L135" s="32"/>
      <c r="M135" s="32"/>
      <c r="N135" s="32"/>
      <c r="O135" s="32"/>
    </row>
    <row r="136" customFormat="false" ht="13.05" hidden="false" customHeight="true" outlineLevel="0" collapsed="false">
      <c r="B136" s="34"/>
      <c r="C136" s="35" t="str">
        <f aca="false">HYPERLINK("https://www.emi-penza.ru/p/6032.3829-03", "6032.3829-03")</f>
        <v>6032.3829-03</v>
      </c>
      <c r="D136" s="36"/>
      <c r="E136" s="36"/>
      <c r="F136" s="36"/>
      <c r="G136" s="36"/>
      <c r="H136" s="36"/>
      <c r="I136" s="37" t="n">
        <v>47</v>
      </c>
      <c r="J136" s="37" t="n">
        <v>171</v>
      </c>
      <c r="K136" s="64"/>
      <c r="L136" s="64"/>
      <c r="M136" s="36"/>
      <c r="N136" s="36"/>
      <c r="O136" s="36"/>
    </row>
    <row r="137" customFormat="false" ht="12.2" hidden="false" customHeight="true" outlineLevel="0" collapsed="false">
      <c r="B137" s="3"/>
      <c r="C137" s="54"/>
      <c r="D137" s="44"/>
      <c r="E137" s="44"/>
      <c r="F137" s="44"/>
      <c r="G137" s="44"/>
      <c r="H137" s="44"/>
      <c r="I137" s="45"/>
      <c r="J137" s="45"/>
      <c r="K137" s="46"/>
      <c r="L137" s="46"/>
      <c r="M137" s="44"/>
      <c r="N137" s="44"/>
      <c r="O137" s="44"/>
    </row>
    <row r="138" customFormat="false" ht="14.15" hidden="false" customHeight="true" outlineLevel="0" collapsed="false">
      <c r="B138" s="3"/>
      <c r="C138" s="38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</row>
    <row r="139" customFormat="false" ht="18.15" hidden="false" customHeight="true" outlineLevel="0" collapsed="false">
      <c r="B139" s="30"/>
      <c r="C139" s="31" t="str">
        <f aca="false">HYPERLINK("https://www.emi-penza.ru/p/6032.3829-03_SO", "6032.3829-03 СЗ")</f>
        <v>6032.3829-03 СЗ</v>
      </c>
      <c r="D139" s="32"/>
      <c r="E139" s="32"/>
      <c r="F139" s="32"/>
      <c r="G139" s="32"/>
      <c r="H139" s="32"/>
      <c r="I139" s="33" t="n">
        <v>47</v>
      </c>
      <c r="J139" s="33" t="n">
        <v>171</v>
      </c>
      <c r="K139" s="32"/>
      <c r="L139" s="32"/>
      <c r="M139" s="32"/>
      <c r="N139" s="32"/>
      <c r="O139" s="32"/>
    </row>
    <row r="140" customFormat="false" ht="13.05" hidden="false" customHeight="true" outlineLevel="0" collapsed="false">
      <c r="B140" s="34"/>
      <c r="C140" s="35" t="str">
        <f aca="false">HYPERLINK("https://www.emi-penza.ru/p/6042.3829-01", "6042.3829-01")</f>
        <v>6042.3829-01</v>
      </c>
      <c r="D140" s="36"/>
      <c r="E140" s="36"/>
      <c r="F140" s="36"/>
      <c r="G140" s="36"/>
      <c r="H140" s="36"/>
      <c r="I140" s="37" t="n">
        <v>27</v>
      </c>
      <c r="J140" s="37" t="n">
        <v>240</v>
      </c>
      <c r="K140" s="64"/>
      <c r="L140" s="64"/>
      <c r="M140" s="36"/>
      <c r="N140" s="36"/>
      <c r="O140" s="36"/>
    </row>
    <row r="141" customFormat="false" ht="12.2" hidden="false" customHeight="true" outlineLevel="0" collapsed="false">
      <c r="B141" s="3"/>
      <c r="C141" s="54"/>
      <c r="D141" s="44"/>
      <c r="E141" s="44"/>
      <c r="F141" s="44"/>
      <c r="G141" s="44"/>
      <c r="H141" s="44"/>
      <c r="I141" s="45"/>
      <c r="J141" s="45"/>
      <c r="K141" s="46"/>
      <c r="L141" s="46"/>
      <c r="M141" s="44"/>
      <c r="N141" s="44"/>
      <c r="O141" s="44"/>
    </row>
    <row r="142" customFormat="false" ht="14.15" hidden="false" customHeight="true" outlineLevel="0" collapsed="false">
      <c r="B142" s="3"/>
      <c r="C142" s="38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</row>
    <row r="143" customFormat="false" ht="13.05" hidden="false" customHeight="true" outlineLevel="0" collapsed="false">
      <c r="B143" s="34"/>
      <c r="C143" s="35" t="str">
        <f aca="false">HYPERLINK("https://www.emi-penza.ru/p/6042.3829-03", "6042.3829-03")</f>
        <v>6042.3829-03</v>
      </c>
      <c r="D143" s="36"/>
      <c r="E143" s="36"/>
      <c r="F143" s="36"/>
      <c r="G143" s="36"/>
      <c r="H143" s="36"/>
      <c r="I143" s="37" t="n">
        <v>27</v>
      </c>
      <c r="J143" s="37" t="n">
        <v>240</v>
      </c>
      <c r="K143" s="64"/>
      <c r="L143" s="64"/>
      <c r="M143" s="36"/>
      <c r="N143" s="36"/>
      <c r="O143" s="36"/>
    </row>
    <row r="144" customFormat="false" ht="12.2" hidden="false" customHeight="true" outlineLevel="0" collapsed="false">
      <c r="B144" s="3"/>
      <c r="C144" s="54"/>
      <c r="D144" s="44"/>
      <c r="E144" s="44"/>
      <c r="F144" s="44"/>
      <c r="G144" s="44"/>
      <c r="H144" s="44"/>
      <c r="I144" s="45"/>
      <c r="J144" s="45"/>
      <c r="K144" s="46"/>
      <c r="L144" s="46"/>
      <c r="M144" s="44"/>
      <c r="N144" s="44"/>
      <c r="O144" s="44"/>
    </row>
    <row r="145" customFormat="false" ht="14.15" hidden="false" customHeight="true" outlineLevel="0" collapsed="false">
      <c r="B145" s="3"/>
      <c r="C145" s="38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</row>
    <row r="146" customFormat="false" ht="13.05" hidden="false" customHeight="true" outlineLevel="0" collapsed="false">
      <c r="B146" s="34"/>
      <c r="C146" s="35" t="str">
        <f aca="false">HYPERLINK("https://www.emi-penza.ru/p/178", "6052.3829-01 (22)")</f>
        <v>6052.3829-01 (22)</v>
      </c>
      <c r="D146" s="36"/>
      <c r="E146" s="36"/>
      <c r="F146" s="36"/>
      <c r="G146" s="36"/>
      <c r="H146" s="36"/>
      <c r="I146" s="37" t="n">
        <v>22</v>
      </c>
      <c r="J146" s="37" t="n">
        <v>171</v>
      </c>
      <c r="K146" s="64"/>
      <c r="L146" s="64"/>
      <c r="M146" s="36"/>
      <c r="N146" s="36"/>
      <c r="O146" s="36"/>
    </row>
    <row r="147" customFormat="false" ht="14.15" hidden="false" customHeight="true" outlineLevel="0" collapsed="false">
      <c r="B147" s="3"/>
      <c r="C147" s="38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</row>
    <row r="148" customFormat="false" ht="13.05" hidden="false" customHeight="true" outlineLevel="0" collapsed="false">
      <c r="B148" s="34"/>
      <c r="C148" s="35" t="str">
        <f aca="false">HYPERLINK("https://www.emi-penza.ru/p/6052.3829-04", "6052.3829-04")</f>
        <v>6052.3829-04</v>
      </c>
      <c r="D148" s="36"/>
      <c r="E148" s="36"/>
      <c r="F148" s="36"/>
      <c r="G148" s="36"/>
      <c r="H148" s="36"/>
      <c r="I148" s="37" t="n">
        <v>40</v>
      </c>
      <c r="J148" s="37" t="n">
        <v>171</v>
      </c>
      <c r="K148" s="36"/>
      <c r="L148" s="64"/>
      <c r="M148" s="36"/>
      <c r="N148" s="36"/>
      <c r="O148" s="36"/>
    </row>
    <row r="149" customFormat="false" ht="14.15" hidden="false" customHeight="true" outlineLevel="0" collapsed="false">
      <c r="B149" s="3"/>
      <c r="C149" s="38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</row>
    <row r="150" customFormat="false" ht="13.05" hidden="false" customHeight="true" outlineLevel="0" collapsed="false">
      <c r="B150" s="34"/>
      <c r="C150" s="35" t="str">
        <f aca="false">HYPERLINK("https://www.emi-penza.ru/p/6072.3829-01", "6072.3829-01")</f>
        <v>6072.3829-01</v>
      </c>
      <c r="D150" s="36"/>
      <c r="E150" s="36"/>
      <c r="F150" s="36"/>
      <c r="G150" s="36"/>
      <c r="H150" s="36"/>
      <c r="I150" s="37" t="n">
        <v>39</v>
      </c>
      <c r="J150" s="37" t="n">
        <v>171</v>
      </c>
      <c r="K150" s="64"/>
      <c r="L150" s="64"/>
      <c r="M150" s="36"/>
      <c r="N150" s="36"/>
      <c r="O150" s="36"/>
    </row>
    <row r="151" customFormat="false" ht="12.2" hidden="false" customHeight="true" outlineLevel="0" collapsed="false">
      <c r="B151" s="3"/>
      <c r="C151" s="54"/>
      <c r="D151" s="44"/>
      <c r="E151" s="44"/>
      <c r="F151" s="44"/>
      <c r="G151" s="44"/>
      <c r="H151" s="44"/>
      <c r="I151" s="45"/>
      <c r="J151" s="45"/>
      <c r="K151" s="46"/>
      <c r="L151" s="46"/>
      <c r="M151" s="44"/>
      <c r="N151" s="44"/>
      <c r="O151" s="44"/>
    </row>
    <row r="152" customFormat="false" ht="14.15" hidden="false" customHeight="true" outlineLevel="0" collapsed="false">
      <c r="B152" s="3"/>
      <c r="C152" s="38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</row>
    <row r="153" customFormat="false" ht="13.05" hidden="false" customHeight="true" outlineLevel="0" collapsed="false">
      <c r="B153" s="34"/>
      <c r="C153" s="35" t="str">
        <f aca="false">HYPERLINK("https://www.emi-penza.ru/p/6072.3829-01_SO_K18", "6072.3829-01 СЗ К1/8")</f>
        <v>6072.3829-01 СЗ К1/8</v>
      </c>
      <c r="D153" s="36"/>
      <c r="E153" s="36"/>
      <c r="F153" s="36"/>
      <c r="G153" s="36"/>
      <c r="H153" s="36"/>
      <c r="I153" s="37" t="n">
        <v>39</v>
      </c>
      <c r="J153" s="37"/>
      <c r="K153" s="64"/>
      <c r="L153" s="64"/>
      <c r="M153" s="36"/>
      <c r="N153" s="36"/>
      <c r="O153" s="36"/>
    </row>
    <row r="154" customFormat="false" ht="14.15" hidden="false" customHeight="true" outlineLevel="0" collapsed="false">
      <c r="B154" s="3"/>
      <c r="C154" s="38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</row>
    <row r="155" customFormat="false" ht="13.05" hidden="false" customHeight="true" outlineLevel="0" collapsed="false">
      <c r="B155" s="34"/>
      <c r="C155" s="35" t="str">
        <f aca="false">HYPERLINK("https://www.emi-penza.ru/p/6072.3829-07", "6072.3829-07")</f>
        <v>6072.3829-07</v>
      </c>
      <c r="D155" s="36"/>
      <c r="E155" s="36"/>
      <c r="F155" s="36"/>
      <c r="G155" s="36"/>
      <c r="H155" s="36"/>
      <c r="I155" s="37" t="n">
        <v>45</v>
      </c>
      <c r="J155" s="37" t="n">
        <v>171</v>
      </c>
      <c r="K155" s="64"/>
      <c r="L155" s="64"/>
      <c r="M155" s="36"/>
      <c r="N155" s="36"/>
      <c r="O155" s="36"/>
    </row>
    <row r="156" customFormat="false" ht="12.2" hidden="false" customHeight="true" outlineLevel="0" collapsed="false">
      <c r="B156" s="3"/>
      <c r="C156" s="54"/>
      <c r="D156" s="44"/>
      <c r="E156" s="44"/>
      <c r="F156" s="44"/>
      <c r="G156" s="44"/>
      <c r="H156" s="44"/>
      <c r="I156" s="45"/>
      <c r="J156" s="45"/>
      <c r="K156" s="46"/>
      <c r="L156" s="46"/>
      <c r="M156" s="44"/>
      <c r="N156" s="44"/>
      <c r="O156" s="44"/>
    </row>
    <row r="157" customFormat="false" ht="14.15" hidden="false" customHeight="true" outlineLevel="0" collapsed="false">
      <c r="B157" s="3"/>
      <c r="C157" s="38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</row>
    <row r="158" customFormat="false" ht="13.05" hidden="false" customHeight="true" outlineLevel="0" collapsed="false">
      <c r="B158" s="34"/>
      <c r="C158" s="35" t="str">
        <f aca="false">HYPERLINK("https://www.emi-penza.ru/p/6072.3829-08", "6072.3829-08")</f>
        <v>6072.3829-08</v>
      </c>
      <c r="D158" s="36"/>
      <c r="E158" s="36"/>
      <c r="F158" s="36"/>
      <c r="G158" s="36"/>
      <c r="H158" s="36"/>
      <c r="I158" s="37" t="n">
        <v>47</v>
      </c>
      <c r="J158" s="37" t="n">
        <v>171</v>
      </c>
      <c r="K158" s="64"/>
      <c r="L158" s="64"/>
      <c r="M158" s="36"/>
      <c r="N158" s="36"/>
      <c r="O158" s="36"/>
    </row>
    <row r="159" customFormat="false" ht="12.2" hidden="false" customHeight="true" outlineLevel="0" collapsed="false">
      <c r="B159" s="3"/>
      <c r="C159" s="54"/>
      <c r="D159" s="44"/>
      <c r="E159" s="44"/>
      <c r="F159" s="44"/>
      <c r="G159" s="44"/>
      <c r="H159" s="44"/>
      <c r="I159" s="45"/>
      <c r="J159" s="45"/>
      <c r="K159" s="46"/>
      <c r="L159" s="46"/>
      <c r="M159" s="44"/>
      <c r="N159" s="44"/>
      <c r="O159" s="44"/>
    </row>
    <row r="160" customFormat="false" ht="33.2" hidden="false" customHeight="true" outlineLevel="0" collapsed="false">
      <c r="B160" s="3"/>
      <c r="C160" s="47"/>
      <c r="D160" s="48"/>
      <c r="E160" s="48"/>
      <c r="F160" s="48"/>
      <c r="G160" s="48"/>
      <c r="H160" s="48"/>
      <c r="I160" s="49"/>
      <c r="J160" s="49"/>
      <c r="K160" s="48"/>
      <c r="L160" s="48"/>
      <c r="M160" s="48"/>
      <c r="N160" s="48"/>
      <c r="O160" s="48"/>
    </row>
    <row r="161" customFormat="false" ht="18.15" hidden="false" customHeight="true" outlineLevel="0" collapsed="false">
      <c r="B161" s="30"/>
      <c r="C161" s="31" t="str">
        <f aca="false">HYPERLINK("https://www.emi-penza.ru/p/1302.3768_SO_M16_rod_18_mm", "1302.3768 СЗ М16 шток 18 мм")</f>
        <v>1302.3768 СЗ М16 шток 18 мм</v>
      </c>
      <c r="D161" s="32"/>
      <c r="E161" s="32"/>
      <c r="F161" s="32"/>
      <c r="G161" s="32"/>
      <c r="H161" s="32"/>
      <c r="I161" s="33" t="n">
        <v>38</v>
      </c>
      <c r="J161" s="33" t="n">
        <v>240</v>
      </c>
      <c r="K161" s="32"/>
      <c r="L161" s="32"/>
      <c r="M161" s="32"/>
      <c r="N161" s="32"/>
      <c r="O161" s="32"/>
    </row>
    <row r="162" customFormat="false" ht="18.15" hidden="false" customHeight="true" outlineLevel="0" collapsed="false">
      <c r="B162" s="30"/>
      <c r="C162" s="31" t="str">
        <f aca="false">HYPERLINK("https://www.emi-penza.ru/p/1332.3768-04", "1332.3768-04")</f>
        <v>1332.3768-04</v>
      </c>
      <c r="D162" s="32"/>
      <c r="E162" s="32"/>
      <c r="F162" s="32"/>
      <c r="G162" s="32"/>
      <c r="H162" s="32"/>
      <c r="I162" s="65" t="n">
        <v>35</v>
      </c>
      <c r="J162" s="33"/>
      <c r="K162" s="32"/>
      <c r="L162" s="32"/>
      <c r="M162" s="32"/>
      <c r="N162" s="32"/>
      <c r="O162" s="32"/>
    </row>
    <row r="163" customFormat="false" ht="18.15" hidden="false" customHeight="true" outlineLevel="0" collapsed="false">
      <c r="B163" s="30"/>
      <c r="C163" s="31" t="str">
        <f aca="false">HYPERLINK("https://www.emi-penza.ru/p/1352.3768-01_SO", "1352.3768-01 СЗ")</f>
        <v>1352.3768-01 СЗ</v>
      </c>
      <c r="D163" s="32"/>
      <c r="E163" s="32"/>
      <c r="F163" s="32"/>
      <c r="G163" s="32"/>
      <c r="H163" s="32"/>
      <c r="I163" s="33" t="n">
        <v>41</v>
      </c>
      <c r="J163" s="33" t="n">
        <v>171</v>
      </c>
      <c r="K163" s="32"/>
      <c r="L163" s="32"/>
      <c r="M163" s="32"/>
      <c r="N163" s="32"/>
      <c r="O163" s="32"/>
    </row>
    <row r="164" customFormat="false" ht="18.15" hidden="false" customHeight="true" outlineLevel="0" collapsed="false">
      <c r="B164" s="30"/>
      <c r="C164" s="31" t="s">
        <v>104</v>
      </c>
      <c r="D164" s="32"/>
      <c r="E164" s="32"/>
      <c r="F164" s="32"/>
      <c r="G164" s="32"/>
      <c r="H164" s="32"/>
      <c r="I164" s="33"/>
      <c r="J164" s="33"/>
      <c r="K164" s="32"/>
      <c r="L164" s="32" t="n">
        <v>171</v>
      </c>
      <c r="M164" s="32"/>
      <c r="N164" s="32"/>
      <c r="O164" s="32"/>
    </row>
    <row r="165" customFormat="false" ht="18.15" hidden="false" customHeight="true" outlineLevel="0" collapsed="false">
      <c r="B165" s="30"/>
      <c r="C165" s="31" t="str">
        <f aca="false">HYPERLINK("https://www.emi-penza.ru/p/1352.3768-06_SO_M14", "1352.3768-06 СЗ М14")</f>
        <v>1352.3768-06 СЗ М14</v>
      </c>
      <c r="D165" s="32"/>
      <c r="E165" s="32"/>
      <c r="F165" s="32"/>
      <c r="G165" s="32"/>
      <c r="H165" s="32"/>
      <c r="I165" s="33" t="n">
        <v>40</v>
      </c>
      <c r="J165" s="33" t="n">
        <v>171</v>
      </c>
      <c r="K165" s="32"/>
      <c r="L165" s="32"/>
      <c r="M165" s="32"/>
      <c r="N165" s="32"/>
      <c r="O165" s="32"/>
    </row>
    <row r="166" customFormat="false" ht="18.15" hidden="false" customHeight="true" outlineLevel="0" collapsed="false">
      <c r="B166" s="30"/>
      <c r="C166" s="31" t="str">
        <f aca="false">HYPERLINK("https://www.emi-penza.ru/p/1352.3768-06_SO_G12", "1352.3768-06 СЗ G1/2")</f>
        <v>1352.3768-06 СЗ G1/2</v>
      </c>
      <c r="D166" s="32"/>
      <c r="E166" s="32"/>
      <c r="F166" s="32"/>
      <c r="G166" s="32"/>
      <c r="H166" s="32"/>
      <c r="I166" s="33" t="n">
        <v>47</v>
      </c>
      <c r="J166" s="33" t="n">
        <v>171</v>
      </c>
      <c r="K166" s="32"/>
      <c r="L166" s="32"/>
      <c r="M166" s="32"/>
      <c r="N166" s="32"/>
      <c r="O166" s="32"/>
    </row>
    <row r="167" customFormat="false" ht="18.15" hidden="false" customHeight="true" outlineLevel="0" collapsed="false">
      <c r="B167" s="30"/>
      <c r="C167" s="31" t="str">
        <f aca="false">HYPERLINK("https://www.emi-penza.ru/p/1352.3768-11", "1352.3768-11")</f>
        <v>1352.3768-11</v>
      </c>
      <c r="D167" s="32"/>
      <c r="E167" s="32"/>
      <c r="F167" s="32"/>
      <c r="G167" s="32"/>
      <c r="H167" s="32"/>
      <c r="I167" s="33" t="n">
        <v>32</v>
      </c>
      <c r="J167" s="33"/>
      <c r="K167" s="32"/>
      <c r="L167" s="32" t="n">
        <v>240</v>
      </c>
      <c r="M167" s="32"/>
      <c r="N167" s="32"/>
      <c r="O167" s="32"/>
    </row>
    <row r="168" customFormat="false" ht="18.15" hidden="false" customHeight="true" outlineLevel="0" collapsed="false">
      <c r="B168" s="30"/>
      <c r="C168" s="51" t="str">
        <f aca="false">HYPERLINK("https://www.emi-penza.ru/p/1352.3768-20_SO", "1352.3768-20 СЗ")</f>
        <v>1352.3768-20 СЗ</v>
      </c>
      <c r="D168" s="52"/>
      <c r="E168" s="52"/>
      <c r="F168" s="52"/>
      <c r="G168" s="52"/>
      <c r="H168" s="52"/>
      <c r="I168" s="53" t="n">
        <v>40</v>
      </c>
      <c r="J168" s="53" t="n">
        <v>171</v>
      </c>
      <c r="K168" s="52"/>
      <c r="L168" s="52"/>
      <c r="M168" s="52"/>
      <c r="N168" s="52"/>
      <c r="O168" s="52"/>
    </row>
    <row r="169" customFormat="false" ht="14.15" hidden="false" customHeight="true" outlineLevel="0" collapsed="false">
      <c r="B169" s="3"/>
      <c r="C169" s="47"/>
      <c r="D169" s="48"/>
      <c r="E169" s="48"/>
      <c r="F169" s="48"/>
      <c r="G169" s="48"/>
      <c r="H169" s="48"/>
      <c r="I169" s="49"/>
      <c r="J169" s="49"/>
      <c r="K169" s="48"/>
      <c r="L169" s="48"/>
      <c r="M169" s="48"/>
      <c r="N169" s="48"/>
      <c r="O169" s="48"/>
    </row>
    <row r="170" customFormat="false" ht="9.95" hidden="false" customHeight="true" outlineLevel="0" collapsed="false">
      <c r="B170" s="3"/>
    </row>
    <row r="171" customFormat="false" ht="22.7" hidden="false" customHeight="true" outlineLevel="0" collapsed="false">
      <c r="B171" s="3"/>
      <c r="C171" s="28" t="s">
        <v>105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customFormat="false" ht="2.85" hidden="false" customHeight="true" outlineLevel="0" collapsed="false">
      <c r="B172" s="3"/>
    </row>
    <row r="173" customFormat="false" ht="14.15" hidden="false" customHeight="true" outlineLevel="0" collapsed="false">
      <c r="B173" s="34"/>
      <c r="C173" s="35" t="str">
        <f aca="false">HYPERLINK("http://www.emi-penza.ru/p/215/", "21.3772")</f>
        <v>21.3772</v>
      </c>
      <c r="D173" s="36" t="s">
        <v>106</v>
      </c>
      <c r="E173" s="36"/>
      <c r="F173" s="36"/>
      <c r="G173" s="36"/>
      <c r="H173" s="36"/>
      <c r="I173" s="37" t="n">
        <v>95</v>
      </c>
      <c r="J173" s="37" t="n">
        <v>40</v>
      </c>
      <c r="K173" s="36"/>
      <c r="L173" s="36" t="n">
        <v>50</v>
      </c>
      <c r="M173" s="36" t="n">
        <v>120</v>
      </c>
      <c r="N173" s="36"/>
      <c r="O173" s="36"/>
    </row>
    <row r="174" customFormat="false" ht="15" hidden="false" customHeight="true" outlineLevel="0" collapsed="false">
      <c r="B174" s="3"/>
      <c r="C174" s="38"/>
      <c r="D174" s="39" t="s">
        <v>107</v>
      </c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</row>
    <row r="175" customFormat="false" ht="14.15" hidden="false" customHeight="true" outlineLevel="0" collapsed="false">
      <c r="B175" s="3"/>
      <c r="C175" s="66" t="str">
        <f aca="false">HYPERLINK("http://www.emi-penza.ru/p/232/", "773.3702-01 с ЩУ")</f>
        <v>773.3702-01 с ЩУ</v>
      </c>
      <c r="D175" s="36" t="s">
        <v>108</v>
      </c>
      <c r="E175" s="36"/>
      <c r="F175" s="36"/>
      <c r="G175" s="36"/>
      <c r="H175" s="57" t="s">
        <v>109</v>
      </c>
      <c r="I175" s="37" t="n">
        <v>95</v>
      </c>
      <c r="J175" s="37"/>
      <c r="K175" s="36"/>
      <c r="L175" s="36"/>
      <c r="M175" s="36" t="n">
        <v>120</v>
      </c>
      <c r="N175" s="36"/>
      <c r="O175" s="36"/>
    </row>
    <row r="176" customFormat="false" ht="15" hidden="false" customHeight="true" outlineLevel="0" collapsed="false">
      <c r="B176" s="3"/>
      <c r="C176" s="66"/>
      <c r="D176" s="39" t="s">
        <v>110</v>
      </c>
      <c r="E176" s="39"/>
      <c r="F176" s="39"/>
      <c r="G176" s="39"/>
      <c r="H176" s="50" t="s">
        <v>111</v>
      </c>
      <c r="I176" s="40" t="n">
        <v>95</v>
      </c>
      <c r="J176" s="40"/>
      <c r="K176" s="39"/>
      <c r="L176" s="39"/>
      <c r="M176" s="39" t="n">
        <v>120</v>
      </c>
      <c r="N176" s="39"/>
      <c r="O176" s="39"/>
    </row>
    <row r="177" customFormat="false" ht="14.15" hidden="false" customHeight="true" outlineLevel="0" collapsed="false">
      <c r="B177" s="3"/>
      <c r="C177" s="66" t="str">
        <f aca="false">HYPERLINK("http://www.emi-penza.ru/p/231/", "77.3702-01 с ЩУ  ")</f>
        <v>77.3702-01 с ЩУ  </v>
      </c>
      <c r="D177" s="36" t="s">
        <v>112</v>
      </c>
      <c r="E177" s="36"/>
      <c r="F177" s="36"/>
      <c r="G177" s="36"/>
      <c r="H177" s="57" t="s">
        <v>109</v>
      </c>
      <c r="I177" s="37" t="n">
        <v>95</v>
      </c>
      <c r="J177" s="37"/>
      <c r="K177" s="36"/>
      <c r="L177" s="36"/>
      <c r="M177" s="36" t="n">
        <v>120</v>
      </c>
      <c r="N177" s="36"/>
      <c r="O177" s="36"/>
    </row>
    <row r="178" customFormat="false" ht="15" hidden="false" customHeight="true" outlineLevel="0" collapsed="false">
      <c r="B178" s="3"/>
      <c r="C178" s="66"/>
      <c r="D178" s="39" t="s">
        <v>113</v>
      </c>
      <c r="E178" s="39"/>
      <c r="F178" s="39"/>
      <c r="G178" s="39"/>
      <c r="H178" s="50" t="s">
        <v>111</v>
      </c>
      <c r="I178" s="40" t="n">
        <v>95</v>
      </c>
      <c r="J178" s="40"/>
      <c r="K178" s="39"/>
      <c r="L178" s="39"/>
      <c r="M178" s="39" t="n">
        <v>120</v>
      </c>
      <c r="N178" s="39"/>
      <c r="O178" s="39"/>
    </row>
    <row r="179" customFormat="false" ht="14.15" hidden="false" customHeight="true" outlineLevel="0" collapsed="false">
      <c r="B179" s="3"/>
      <c r="C179" s="35" t="str">
        <f aca="false">HYPERLINK("http://www.emi-penza.ru/p/201/", "77.3702")</f>
        <v>77.3702</v>
      </c>
      <c r="D179" s="36" t="s">
        <v>114</v>
      </c>
      <c r="E179" s="36"/>
      <c r="F179" s="36"/>
      <c r="G179" s="36"/>
      <c r="H179" s="36"/>
      <c r="I179" s="37" t="n">
        <v>22</v>
      </c>
      <c r="J179" s="37" t="n">
        <v>250</v>
      </c>
      <c r="K179" s="36"/>
      <c r="L179" s="36"/>
      <c r="M179" s="36"/>
      <c r="N179" s="36"/>
      <c r="O179" s="36"/>
    </row>
    <row r="180" customFormat="false" ht="15" hidden="false" customHeight="true" outlineLevel="0" collapsed="false">
      <c r="B180" s="3"/>
      <c r="C180" s="38"/>
      <c r="D180" s="39"/>
      <c r="E180" s="39"/>
      <c r="F180" s="39"/>
      <c r="G180" s="39"/>
      <c r="H180" s="67" t="s">
        <v>115</v>
      </c>
      <c r="I180" s="40" t="n">
        <v>26</v>
      </c>
      <c r="J180" s="40"/>
      <c r="K180" s="39"/>
      <c r="L180" s="39" t="n">
        <v>120</v>
      </c>
      <c r="M180" s="39"/>
      <c r="N180" s="39"/>
      <c r="O180" s="39"/>
    </row>
    <row r="181" customFormat="false" ht="14.15" hidden="false" customHeight="true" outlineLevel="0" collapsed="false">
      <c r="B181" s="34"/>
      <c r="C181" s="35" t="str">
        <f aca="false">HYPERLINK("http://www.emi-penza.ru/p/220/", "77.3702-01")</f>
        <v>77.3702-01</v>
      </c>
      <c r="D181" s="36" t="s">
        <v>116</v>
      </c>
      <c r="E181" s="36"/>
      <c r="F181" s="36"/>
      <c r="G181" s="36"/>
      <c r="H181" s="36"/>
      <c r="I181" s="37" t="n">
        <v>22</v>
      </c>
      <c r="J181" s="37" t="n">
        <v>250</v>
      </c>
      <c r="K181" s="36"/>
      <c r="L181" s="36"/>
      <c r="M181" s="36"/>
      <c r="N181" s="36"/>
      <c r="O181" s="36"/>
    </row>
    <row r="182" customFormat="false" ht="15" hidden="false" customHeight="true" outlineLevel="0" collapsed="false">
      <c r="B182" s="3"/>
      <c r="C182" s="38"/>
      <c r="D182" s="39" t="s">
        <v>117</v>
      </c>
      <c r="E182" s="39"/>
      <c r="F182" s="39"/>
      <c r="G182" s="39"/>
      <c r="H182" s="67" t="s">
        <v>40</v>
      </c>
      <c r="I182" s="40" t="n">
        <v>26</v>
      </c>
      <c r="J182" s="40"/>
      <c r="K182" s="39"/>
      <c r="L182" s="39" t="n">
        <v>120</v>
      </c>
      <c r="M182" s="39"/>
      <c r="N182" s="39"/>
      <c r="O182" s="39"/>
    </row>
    <row r="183" customFormat="false" ht="14.15" hidden="false" customHeight="true" outlineLevel="0" collapsed="false">
      <c r="B183" s="34"/>
      <c r="C183" s="35" t="str">
        <f aca="false">HYPERLINK("http://www.emi-penza.ru/p/234/", "77.3702-02")</f>
        <v>77.3702-02</v>
      </c>
      <c r="D183" s="36" t="s">
        <v>118</v>
      </c>
      <c r="E183" s="36"/>
      <c r="F183" s="36"/>
      <c r="G183" s="36"/>
      <c r="H183" s="36"/>
      <c r="I183" s="37" t="n">
        <v>22</v>
      </c>
      <c r="J183" s="37" t="n">
        <v>250</v>
      </c>
      <c r="K183" s="36"/>
      <c r="L183" s="36"/>
      <c r="M183" s="36"/>
      <c r="N183" s="36"/>
      <c r="O183" s="36"/>
    </row>
    <row r="184" customFormat="false" ht="15" hidden="false" customHeight="true" outlineLevel="0" collapsed="false">
      <c r="B184" s="3"/>
      <c r="C184" s="38"/>
      <c r="D184" s="39"/>
      <c r="E184" s="39"/>
      <c r="F184" s="39"/>
      <c r="G184" s="39"/>
      <c r="H184" s="67"/>
      <c r="I184" s="40"/>
      <c r="J184" s="40"/>
      <c r="K184" s="39"/>
      <c r="L184" s="39"/>
      <c r="M184" s="39"/>
      <c r="N184" s="39"/>
      <c r="O184" s="39"/>
    </row>
    <row r="185" customFormat="false" ht="18.15" hidden="false" customHeight="true" outlineLevel="0" collapsed="false">
      <c r="B185" s="30"/>
      <c r="C185" s="31" t="str">
        <f aca="false">HYPERLINK("http://www.emi-penza.ru/p/207/", "83.3702")</f>
        <v>83.3702</v>
      </c>
      <c r="D185" s="32" t="s">
        <v>119</v>
      </c>
      <c r="E185" s="32"/>
      <c r="F185" s="32"/>
      <c r="G185" s="32"/>
      <c r="H185" s="32"/>
      <c r="I185" s="33" t="n">
        <v>45</v>
      </c>
      <c r="J185" s="33"/>
      <c r="K185" s="32"/>
      <c r="L185" s="32" t="n">
        <v>100</v>
      </c>
      <c r="M185" s="32"/>
      <c r="N185" s="32"/>
      <c r="O185" s="32"/>
    </row>
    <row r="186" customFormat="false" ht="14.15" hidden="false" customHeight="true" outlineLevel="0" collapsed="false">
      <c r="B186" s="34"/>
      <c r="C186" s="35" t="str">
        <f aca="false">HYPERLINK("http://www.emi-penza.ru/p/208/", "91.3702")</f>
        <v>91.3702</v>
      </c>
      <c r="D186" s="36" t="s">
        <v>120</v>
      </c>
      <c r="E186" s="36"/>
      <c r="F186" s="36"/>
      <c r="G186" s="36"/>
      <c r="H186" s="36"/>
      <c r="I186" s="37" t="n">
        <v>38</v>
      </c>
      <c r="J186" s="37"/>
      <c r="K186" s="36"/>
      <c r="L186" s="36"/>
      <c r="M186" s="36"/>
      <c r="N186" s="36"/>
      <c r="O186" s="36"/>
    </row>
    <row r="187" customFormat="false" ht="15" hidden="false" customHeight="true" outlineLevel="0" collapsed="false">
      <c r="B187" s="3"/>
      <c r="C187" s="38"/>
      <c r="D187" s="39"/>
      <c r="E187" s="39"/>
      <c r="F187" s="39"/>
      <c r="G187" s="39"/>
      <c r="H187" s="67" t="s">
        <v>121</v>
      </c>
      <c r="I187" s="40" t="n">
        <v>47</v>
      </c>
      <c r="J187" s="40" t="n">
        <v>40</v>
      </c>
      <c r="K187" s="39"/>
      <c r="L187" s="39" t="n">
        <v>50</v>
      </c>
      <c r="M187" s="39" t="n">
        <v>100</v>
      </c>
      <c r="N187" s="39"/>
      <c r="O187" s="39"/>
    </row>
    <row r="188" customFormat="false" ht="14.15" hidden="false" customHeight="true" outlineLevel="0" collapsed="false">
      <c r="B188" s="34"/>
      <c r="C188" s="35" t="str">
        <f aca="false">HYPERLINK("http://www.emi-penza.ru/p/202/", "771.3702")</f>
        <v>771.3702</v>
      </c>
      <c r="D188" s="36" t="s">
        <v>122</v>
      </c>
      <c r="E188" s="36"/>
      <c r="F188" s="36"/>
      <c r="G188" s="36"/>
      <c r="H188" s="36"/>
      <c r="I188" s="37" t="n">
        <v>28</v>
      </c>
      <c r="J188" s="37" t="n">
        <v>250</v>
      </c>
      <c r="K188" s="36"/>
      <c r="L188" s="36"/>
      <c r="M188" s="36"/>
      <c r="N188" s="36"/>
      <c r="O188" s="36"/>
    </row>
    <row r="189" customFormat="false" ht="15" hidden="false" customHeight="true" outlineLevel="0" collapsed="false">
      <c r="B189" s="3"/>
      <c r="C189" s="38"/>
      <c r="D189" s="39"/>
      <c r="E189" s="39"/>
      <c r="F189" s="39"/>
      <c r="G189" s="39"/>
      <c r="H189" s="67" t="s">
        <v>115</v>
      </c>
      <c r="I189" s="40" t="n">
        <v>32</v>
      </c>
      <c r="J189" s="40"/>
      <c r="K189" s="39"/>
      <c r="L189" s="39" t="n">
        <v>120</v>
      </c>
      <c r="M189" s="39"/>
      <c r="N189" s="39"/>
      <c r="O189" s="39"/>
    </row>
    <row r="190" customFormat="false" ht="18.15" hidden="false" customHeight="true" outlineLevel="0" collapsed="false">
      <c r="B190" s="30"/>
      <c r="C190" s="31" t="str">
        <f aca="false">HYPERLINK("http://www.emi-penza.ru/p/222/", "771.3702-01")</f>
        <v>771.3702-01</v>
      </c>
      <c r="D190" s="32" t="s">
        <v>123</v>
      </c>
      <c r="E190" s="32"/>
      <c r="F190" s="32"/>
      <c r="G190" s="32"/>
      <c r="H190" s="32"/>
      <c r="I190" s="33" t="n">
        <v>30</v>
      </c>
      <c r="J190" s="33" t="n">
        <v>250</v>
      </c>
      <c r="K190" s="32"/>
      <c r="L190" s="32"/>
      <c r="M190" s="32"/>
      <c r="N190" s="32"/>
      <c r="O190" s="32"/>
    </row>
    <row r="191" customFormat="false" ht="14.15" hidden="false" customHeight="true" outlineLevel="0" collapsed="false">
      <c r="B191" s="34"/>
      <c r="C191" s="35" t="str">
        <f aca="false">HYPERLINK("http://www.emi-penza.ru/p/205/", "772.3702")</f>
        <v>772.3702</v>
      </c>
      <c r="D191" s="36" t="s">
        <v>124</v>
      </c>
      <c r="E191" s="36"/>
      <c r="F191" s="36"/>
      <c r="G191" s="36"/>
      <c r="H191" s="36"/>
      <c r="I191" s="37" t="n">
        <v>28</v>
      </c>
      <c r="J191" s="37" t="n">
        <v>250</v>
      </c>
      <c r="K191" s="36"/>
      <c r="L191" s="36"/>
      <c r="M191" s="36"/>
      <c r="N191" s="36"/>
      <c r="O191" s="36"/>
    </row>
    <row r="192" customFormat="false" ht="15" hidden="false" customHeight="true" outlineLevel="0" collapsed="false">
      <c r="B192" s="3"/>
      <c r="C192" s="38"/>
      <c r="D192" s="39"/>
      <c r="E192" s="39"/>
      <c r="F192" s="39"/>
      <c r="G192" s="39"/>
      <c r="H192" s="67" t="s">
        <v>115</v>
      </c>
      <c r="I192" s="40" t="n">
        <v>32</v>
      </c>
      <c r="J192" s="40"/>
      <c r="K192" s="39"/>
      <c r="L192" s="39" t="n">
        <v>120</v>
      </c>
      <c r="M192" s="39"/>
      <c r="N192" s="39"/>
      <c r="O192" s="39"/>
    </row>
    <row r="193" customFormat="false" ht="14.15" hidden="false" customHeight="true" outlineLevel="0" collapsed="false">
      <c r="B193" s="34"/>
      <c r="C193" s="35" t="str">
        <f aca="false">HYPERLINK("http://www.emi-penza.ru/p/235/", "772.3702-02")</f>
        <v>772.3702-02</v>
      </c>
      <c r="D193" s="36" t="s">
        <v>125</v>
      </c>
      <c r="E193" s="36"/>
      <c r="F193" s="36"/>
      <c r="G193" s="36"/>
      <c r="H193" s="36"/>
      <c r="I193" s="37" t="n">
        <v>28</v>
      </c>
      <c r="J193" s="37" t="n">
        <v>250</v>
      </c>
      <c r="K193" s="36"/>
      <c r="L193" s="36"/>
      <c r="M193" s="36"/>
      <c r="N193" s="36"/>
      <c r="O193" s="36"/>
    </row>
    <row r="194" customFormat="false" ht="15" hidden="false" customHeight="true" outlineLevel="0" collapsed="false">
      <c r="B194" s="3"/>
      <c r="C194" s="38"/>
      <c r="D194" s="39"/>
      <c r="E194" s="39"/>
      <c r="F194" s="39"/>
      <c r="G194" s="39"/>
      <c r="H194" s="67"/>
      <c r="I194" s="40"/>
      <c r="J194" s="40"/>
      <c r="K194" s="39"/>
      <c r="L194" s="39"/>
      <c r="M194" s="39"/>
      <c r="N194" s="39"/>
      <c r="O194" s="39"/>
    </row>
    <row r="195" customFormat="false" ht="14.15" hidden="false" customHeight="true" outlineLevel="0" collapsed="false">
      <c r="B195" s="34"/>
      <c r="C195" s="35" t="str">
        <f aca="false">HYPERLINK("http://www.emi-penza.ru/p/203/", "773.3702")</f>
        <v>773.3702</v>
      </c>
      <c r="D195" s="36" t="s">
        <v>126</v>
      </c>
      <c r="E195" s="36"/>
      <c r="F195" s="36"/>
      <c r="G195" s="36"/>
      <c r="H195" s="36"/>
      <c r="I195" s="37" t="n">
        <v>28</v>
      </c>
      <c r="J195" s="37" t="n">
        <v>250</v>
      </c>
      <c r="K195" s="36"/>
      <c r="L195" s="36"/>
      <c r="M195" s="36"/>
      <c r="N195" s="36"/>
      <c r="O195" s="36"/>
    </row>
    <row r="196" customFormat="false" ht="15" hidden="false" customHeight="true" outlineLevel="0" collapsed="false">
      <c r="B196" s="3"/>
      <c r="C196" s="38"/>
      <c r="D196" s="39"/>
      <c r="E196" s="39"/>
      <c r="F196" s="39"/>
      <c r="G196" s="39"/>
      <c r="H196" s="67" t="s">
        <v>115</v>
      </c>
      <c r="I196" s="40" t="n">
        <v>32</v>
      </c>
      <c r="J196" s="40"/>
      <c r="K196" s="39"/>
      <c r="L196" s="39" t="n">
        <v>120</v>
      </c>
      <c r="M196" s="39"/>
      <c r="N196" s="39"/>
      <c r="O196" s="39"/>
    </row>
    <row r="197" customFormat="false" ht="14.15" hidden="false" customHeight="true" outlineLevel="0" collapsed="false">
      <c r="B197" s="34"/>
      <c r="C197" s="35" t="str">
        <f aca="false">HYPERLINK("http://www.emi-penza.ru/p/216/", "773.3702-01")</f>
        <v>773.3702-01</v>
      </c>
      <c r="D197" s="36" t="s">
        <v>127</v>
      </c>
      <c r="E197" s="36"/>
      <c r="F197" s="36"/>
      <c r="G197" s="36"/>
      <c r="H197" s="36"/>
      <c r="I197" s="37" t="n">
        <v>25</v>
      </c>
      <c r="J197" s="37" t="n">
        <v>250</v>
      </c>
      <c r="K197" s="36"/>
      <c r="L197" s="36"/>
      <c r="M197" s="36"/>
      <c r="N197" s="36"/>
      <c r="O197" s="36"/>
    </row>
    <row r="198" customFormat="false" ht="15" hidden="false" customHeight="true" outlineLevel="0" collapsed="false">
      <c r="B198" s="3"/>
      <c r="C198" s="38"/>
      <c r="D198" s="39" t="s">
        <v>128</v>
      </c>
      <c r="E198" s="39"/>
      <c r="F198" s="39"/>
      <c r="G198" s="39"/>
      <c r="H198" s="67" t="s">
        <v>129</v>
      </c>
      <c r="I198" s="40" t="n">
        <v>29</v>
      </c>
      <c r="J198" s="40" t="n">
        <v>250</v>
      </c>
      <c r="K198" s="39"/>
      <c r="L198" s="39"/>
      <c r="M198" s="39"/>
      <c r="N198" s="39"/>
      <c r="O198" s="39"/>
    </row>
    <row r="199" customFormat="false" ht="14.15" hidden="false" customHeight="true" outlineLevel="0" collapsed="false">
      <c r="B199" s="3"/>
      <c r="C199" s="35" t="str">
        <f aca="false">HYPERLINK("http://www.emi-penza.ru/p/214/", "774.3702")</f>
        <v>774.3702</v>
      </c>
      <c r="D199" s="36" t="s">
        <v>130</v>
      </c>
      <c r="E199" s="36"/>
      <c r="F199" s="36"/>
      <c r="G199" s="36"/>
      <c r="H199" s="36"/>
      <c r="I199" s="37" t="n">
        <v>63</v>
      </c>
      <c r="J199" s="37"/>
      <c r="K199" s="36"/>
      <c r="L199" s="36" t="n">
        <v>50</v>
      </c>
      <c r="M199" s="36"/>
      <c r="N199" s="36"/>
      <c r="O199" s="36"/>
    </row>
    <row r="200" customFormat="false" ht="15" hidden="false" customHeight="true" outlineLevel="0" collapsed="false">
      <c r="B200" s="3"/>
      <c r="C200" s="38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</row>
    <row r="201" customFormat="false" ht="14.15" hidden="false" customHeight="true" outlineLevel="0" collapsed="false">
      <c r="B201" s="3"/>
      <c r="C201" s="35" t="str">
        <f aca="false">HYPERLINK("http://www.emi-penza.ru/p/221/", "774.3702-01")</f>
        <v>774.3702-01</v>
      </c>
      <c r="D201" s="36" t="s">
        <v>130</v>
      </c>
      <c r="E201" s="36"/>
      <c r="F201" s="36"/>
      <c r="G201" s="36"/>
      <c r="H201" s="36"/>
      <c r="I201" s="37" t="n">
        <v>63</v>
      </c>
      <c r="J201" s="37"/>
      <c r="K201" s="36"/>
      <c r="L201" s="36" t="n">
        <v>50</v>
      </c>
      <c r="M201" s="36"/>
      <c r="N201" s="36"/>
      <c r="O201" s="36"/>
    </row>
    <row r="202" customFormat="false" ht="15" hidden="false" customHeight="true" outlineLevel="0" collapsed="false">
      <c r="B202" s="3"/>
      <c r="C202" s="38"/>
      <c r="D202" s="39"/>
      <c r="E202" s="39"/>
      <c r="F202" s="39"/>
      <c r="G202" s="39"/>
      <c r="H202" s="67"/>
      <c r="I202" s="40"/>
      <c r="J202" s="40"/>
      <c r="K202" s="39"/>
      <c r="L202" s="39"/>
      <c r="M202" s="39"/>
      <c r="N202" s="39"/>
      <c r="O202" s="39"/>
    </row>
    <row r="203" customFormat="false" ht="18.15" hidden="false" customHeight="true" outlineLevel="0" collapsed="false">
      <c r="B203" s="30"/>
      <c r="C203" s="31" t="str">
        <f aca="false">HYPERLINK("http://www.emi-penza.ru/p/204/", "775.3702")</f>
        <v>775.3702</v>
      </c>
      <c r="D203" s="32" t="s">
        <v>131</v>
      </c>
      <c r="E203" s="32"/>
      <c r="F203" s="32"/>
      <c r="G203" s="32"/>
      <c r="H203" s="32"/>
      <c r="I203" s="33" t="n">
        <v>28</v>
      </c>
      <c r="J203" s="33" t="n">
        <v>250</v>
      </c>
      <c r="K203" s="32"/>
      <c r="L203" s="32"/>
      <c r="M203" s="32"/>
      <c r="N203" s="32"/>
      <c r="O203" s="32"/>
    </row>
    <row r="204" customFormat="false" ht="18.15" hidden="false" customHeight="true" outlineLevel="0" collapsed="false">
      <c r="B204" s="30"/>
      <c r="C204" s="31" t="str">
        <f aca="false">HYPERLINK("http://www.emi-penza.ru/p/213/", "776.3702")</f>
        <v>776.3702</v>
      </c>
      <c r="D204" s="32" t="s">
        <v>132</v>
      </c>
      <c r="E204" s="32"/>
      <c r="F204" s="32"/>
      <c r="G204" s="32"/>
      <c r="H204" s="32"/>
      <c r="I204" s="33" t="n">
        <v>37</v>
      </c>
      <c r="J204" s="33"/>
      <c r="K204" s="32"/>
      <c r="L204" s="32" t="n">
        <v>60</v>
      </c>
      <c r="M204" s="32"/>
      <c r="N204" s="32"/>
      <c r="O204" s="32"/>
    </row>
    <row r="205" customFormat="false" ht="18.15" hidden="false" customHeight="true" outlineLevel="0" collapsed="false">
      <c r="B205" s="30"/>
      <c r="C205" s="31" t="str">
        <f aca="false">HYPERLINK("http://www.emi-penza.ru/p/212/", "777.3702")</f>
        <v>777.3702</v>
      </c>
      <c r="D205" s="32" t="s">
        <v>133</v>
      </c>
      <c r="E205" s="32"/>
      <c r="F205" s="32"/>
      <c r="G205" s="32"/>
      <c r="H205" s="32"/>
      <c r="I205" s="33" t="n">
        <v>37</v>
      </c>
      <c r="J205" s="33"/>
      <c r="K205" s="32"/>
      <c r="L205" s="32" t="n">
        <v>60</v>
      </c>
      <c r="M205" s="32"/>
      <c r="N205" s="32"/>
      <c r="O205" s="32"/>
    </row>
    <row r="206" customFormat="false" ht="14.15" hidden="false" customHeight="true" outlineLevel="0" collapsed="false">
      <c r="B206" s="34"/>
      <c r="C206" s="35" t="str">
        <f aca="false">HYPERLINK("http://www.emi-penza.ru/p/209/", "778.3702")</f>
        <v>778.3702</v>
      </c>
      <c r="D206" s="36" t="s">
        <v>134</v>
      </c>
      <c r="E206" s="36"/>
      <c r="F206" s="36"/>
      <c r="G206" s="36"/>
      <c r="H206" s="36"/>
      <c r="I206" s="37" t="n">
        <v>29</v>
      </c>
      <c r="J206" s="37"/>
      <c r="K206" s="36"/>
      <c r="L206" s="36"/>
      <c r="M206" s="36"/>
      <c r="N206" s="36"/>
      <c r="O206" s="36"/>
    </row>
    <row r="207" customFormat="false" ht="15" hidden="false" customHeight="true" outlineLevel="0" collapsed="false">
      <c r="B207" s="3"/>
      <c r="C207" s="38"/>
      <c r="D207" s="39"/>
      <c r="E207" s="39"/>
      <c r="F207" s="39"/>
      <c r="G207" s="39"/>
      <c r="H207" s="67" t="s">
        <v>121</v>
      </c>
      <c r="I207" s="40" t="n">
        <v>36</v>
      </c>
      <c r="J207" s="40" t="n">
        <v>50</v>
      </c>
      <c r="K207" s="39"/>
      <c r="L207" s="39"/>
      <c r="M207" s="39"/>
      <c r="N207" s="39"/>
      <c r="O207" s="39"/>
    </row>
    <row r="208" customFormat="false" ht="14.15" hidden="false" customHeight="true" outlineLevel="0" collapsed="false">
      <c r="B208" s="34"/>
      <c r="C208" s="35" t="str">
        <f aca="false">HYPERLINK("http://www.emi-penza.ru/p/230/", "778.3702-01")</f>
        <v>778.3702-01</v>
      </c>
      <c r="D208" s="36" t="s">
        <v>135</v>
      </c>
      <c r="E208" s="36"/>
      <c r="F208" s="36"/>
      <c r="G208" s="36"/>
      <c r="H208" s="36"/>
      <c r="I208" s="37" t="n">
        <v>30</v>
      </c>
      <c r="J208" s="37"/>
      <c r="K208" s="36"/>
      <c r="L208" s="36"/>
      <c r="M208" s="36"/>
      <c r="N208" s="36"/>
      <c r="O208" s="36"/>
    </row>
    <row r="209" customFormat="false" ht="15" hidden="false" customHeight="true" outlineLevel="0" collapsed="false">
      <c r="B209" s="3"/>
      <c r="C209" s="38"/>
      <c r="D209" s="39" t="s">
        <v>136</v>
      </c>
      <c r="E209" s="39"/>
      <c r="F209" s="39"/>
      <c r="G209" s="39"/>
      <c r="H209" s="67" t="s">
        <v>121</v>
      </c>
      <c r="I209" s="40" t="n">
        <v>37</v>
      </c>
      <c r="J209" s="40" t="n">
        <v>50</v>
      </c>
      <c r="K209" s="39"/>
      <c r="L209" s="39"/>
      <c r="M209" s="39"/>
      <c r="N209" s="39"/>
      <c r="O209" s="39"/>
    </row>
    <row r="210" customFormat="false" ht="18.15" hidden="false" customHeight="true" outlineLevel="0" collapsed="false">
      <c r="B210" s="30"/>
      <c r="C210" s="31" t="str">
        <f aca="false">HYPERLINK("http://www.emi-penza.ru/p/233/", "778.3702-02")</f>
        <v>778.3702-02</v>
      </c>
      <c r="D210" s="32" t="s">
        <v>137</v>
      </c>
      <c r="E210" s="32"/>
      <c r="F210" s="32"/>
      <c r="G210" s="32"/>
      <c r="H210" s="42"/>
      <c r="I210" s="33" t="n">
        <v>60</v>
      </c>
      <c r="J210" s="33"/>
      <c r="K210" s="32"/>
      <c r="L210" s="32" t="n">
        <v>32</v>
      </c>
      <c r="M210" s="32" t="n">
        <v>70</v>
      </c>
      <c r="N210" s="32"/>
      <c r="O210" s="32"/>
    </row>
    <row r="211" customFormat="false" ht="14.15" hidden="false" customHeight="true" outlineLevel="0" collapsed="false">
      <c r="B211" s="34"/>
      <c r="C211" s="35" t="str">
        <f aca="false">HYPERLINK("http://www.emi-penza.ru/p/778.3702-03/", "778.3702-03")</f>
        <v>778.3702-03</v>
      </c>
      <c r="D211" s="36" t="s">
        <v>138</v>
      </c>
      <c r="E211" s="36"/>
      <c r="F211" s="36"/>
      <c r="G211" s="36"/>
      <c r="H211" s="36"/>
      <c r="I211" s="37" t="n">
        <v>35</v>
      </c>
      <c r="J211" s="37"/>
      <c r="K211" s="36"/>
      <c r="L211" s="36"/>
      <c r="M211" s="36"/>
      <c r="N211" s="36"/>
      <c r="O211" s="36"/>
    </row>
    <row r="212" customFormat="false" ht="15" hidden="false" customHeight="true" outlineLevel="0" collapsed="false">
      <c r="B212" s="3"/>
      <c r="C212" s="38"/>
      <c r="D212" s="39"/>
      <c r="E212" s="39"/>
      <c r="F212" s="39"/>
      <c r="G212" s="39"/>
      <c r="H212" s="67" t="s">
        <v>121</v>
      </c>
      <c r="I212" s="40" t="n">
        <v>42</v>
      </c>
      <c r="J212" s="40" t="n">
        <v>50</v>
      </c>
      <c r="K212" s="39"/>
      <c r="L212" s="39"/>
      <c r="M212" s="39"/>
      <c r="N212" s="39"/>
      <c r="O212" s="39"/>
    </row>
    <row r="213" customFormat="false" ht="18.15" hidden="false" customHeight="true" outlineLevel="0" collapsed="false">
      <c r="B213" s="30"/>
      <c r="C213" s="31" t="str">
        <f aca="false">HYPERLINK("http://www.emi-penza.ru/p/217/", "778.3702-06")</f>
        <v>778.3702-06</v>
      </c>
      <c r="D213" s="32" t="s">
        <v>139</v>
      </c>
      <c r="E213" s="32"/>
      <c r="F213" s="32"/>
      <c r="G213" s="32"/>
      <c r="H213" s="42" t="s">
        <v>121</v>
      </c>
      <c r="I213" s="33" t="n">
        <v>40</v>
      </c>
      <c r="J213" s="33" t="n">
        <v>50</v>
      </c>
      <c r="K213" s="32"/>
      <c r="L213" s="32"/>
      <c r="M213" s="32"/>
      <c r="N213" s="32"/>
      <c r="O213" s="32"/>
    </row>
    <row r="214" customFormat="false" ht="14.15" hidden="false" customHeight="true" outlineLevel="0" collapsed="false">
      <c r="B214" s="34"/>
      <c r="C214" s="35" t="str">
        <f aca="false">HYPERLINK("http://www.emi-penza.ru/p/211/", "779.3702")</f>
        <v>779.3702</v>
      </c>
      <c r="D214" s="36" t="s">
        <v>140</v>
      </c>
      <c r="E214" s="36"/>
      <c r="F214" s="36"/>
      <c r="G214" s="36"/>
      <c r="H214" s="36"/>
      <c r="I214" s="37" t="n">
        <v>53</v>
      </c>
      <c r="J214" s="37" t="n">
        <v>60</v>
      </c>
      <c r="K214" s="36"/>
      <c r="L214" s="36"/>
      <c r="M214" s="36"/>
      <c r="N214" s="36"/>
      <c r="O214" s="36"/>
    </row>
    <row r="215" customFormat="false" ht="15" hidden="false" customHeight="true" outlineLevel="0" collapsed="false">
      <c r="B215" s="3"/>
      <c r="C215" s="38"/>
      <c r="D215" s="39" t="s">
        <v>141</v>
      </c>
      <c r="E215" s="39"/>
      <c r="F215" s="39"/>
      <c r="G215" s="39"/>
      <c r="H215" s="39"/>
      <c r="I215" s="40"/>
      <c r="J215" s="40"/>
      <c r="K215" s="39"/>
      <c r="L215" s="39"/>
      <c r="M215" s="39"/>
      <c r="N215" s="39"/>
      <c r="O215" s="39"/>
    </row>
    <row r="216" customFormat="false" ht="14.15" hidden="false" customHeight="true" outlineLevel="0" collapsed="false">
      <c r="B216" s="34"/>
      <c r="C216" s="35" t="str">
        <f aca="false">HYPERLINK("http://www.emi-penza.ru/p/210/", "779.3702-01")</f>
        <v>779.3702-01</v>
      </c>
      <c r="D216" s="36" t="s">
        <v>142</v>
      </c>
      <c r="E216" s="36"/>
      <c r="F216" s="36"/>
      <c r="G216" s="36"/>
      <c r="H216" s="36"/>
      <c r="I216" s="37" t="n">
        <v>51</v>
      </c>
      <c r="J216" s="37" t="n">
        <v>60</v>
      </c>
      <c r="K216" s="36"/>
      <c r="L216" s="36"/>
      <c r="M216" s="36"/>
      <c r="N216" s="36"/>
      <c r="O216" s="36"/>
    </row>
    <row r="217" customFormat="false" ht="15" hidden="false" customHeight="true" outlineLevel="0" collapsed="false">
      <c r="B217" s="3"/>
      <c r="C217" s="38"/>
      <c r="D217" s="39"/>
      <c r="E217" s="39"/>
      <c r="F217" s="39"/>
      <c r="G217" s="39"/>
      <c r="H217" s="39"/>
      <c r="I217" s="40"/>
      <c r="J217" s="40"/>
      <c r="K217" s="39"/>
      <c r="L217" s="39"/>
      <c r="M217" s="39"/>
      <c r="N217" s="39"/>
      <c r="O217" s="39"/>
    </row>
    <row r="218" customFormat="false" ht="14.15" hidden="false" customHeight="true" outlineLevel="0" collapsed="false">
      <c r="B218" s="34"/>
      <c r="C218" s="35" t="str">
        <f aca="false">HYPERLINK("http://www.emi-penza.ru/p/218/", "779.3702-02")</f>
        <v>779.3702-02</v>
      </c>
      <c r="D218" s="36" t="s">
        <v>140</v>
      </c>
      <c r="E218" s="36"/>
      <c r="F218" s="36"/>
      <c r="G218" s="36"/>
      <c r="H218" s="36"/>
      <c r="I218" s="37" t="n">
        <v>48</v>
      </c>
      <c r="J218" s="37" t="n">
        <v>60</v>
      </c>
      <c r="K218" s="36"/>
      <c r="L218" s="36"/>
      <c r="M218" s="36"/>
      <c r="N218" s="36"/>
      <c r="O218" s="36"/>
    </row>
    <row r="219" customFormat="false" ht="15" hidden="false" customHeight="true" outlineLevel="0" collapsed="false">
      <c r="B219" s="3"/>
      <c r="C219" s="38"/>
      <c r="D219" s="39" t="s">
        <v>141</v>
      </c>
      <c r="E219" s="39"/>
      <c r="F219" s="39"/>
      <c r="G219" s="39"/>
      <c r="H219" s="39"/>
      <c r="I219" s="40"/>
      <c r="J219" s="40"/>
      <c r="K219" s="39"/>
      <c r="L219" s="39"/>
      <c r="M219" s="39"/>
      <c r="N219" s="39"/>
      <c r="O219" s="39"/>
    </row>
    <row r="220" customFormat="false" ht="14.15" hidden="false" customHeight="true" outlineLevel="0" collapsed="false">
      <c r="B220" s="34"/>
      <c r="C220" s="35" t="str">
        <f aca="false">HYPERLINK("http://www.emi-penza.ru/p/219/", "779.3702-03")</f>
        <v>779.3702-03</v>
      </c>
      <c r="D220" s="36" t="s">
        <v>142</v>
      </c>
      <c r="E220" s="36"/>
      <c r="F220" s="36"/>
      <c r="G220" s="36"/>
      <c r="H220" s="36"/>
      <c r="I220" s="37" t="n">
        <v>53</v>
      </c>
      <c r="J220" s="37" t="n">
        <v>60</v>
      </c>
      <c r="K220" s="36"/>
      <c r="L220" s="36"/>
      <c r="M220" s="36"/>
      <c r="N220" s="36"/>
      <c r="O220" s="36"/>
    </row>
    <row r="221" customFormat="false" ht="15" hidden="false" customHeight="true" outlineLevel="0" collapsed="false">
      <c r="B221" s="3"/>
      <c r="C221" s="38"/>
      <c r="D221" s="39"/>
      <c r="E221" s="39"/>
      <c r="F221" s="39"/>
      <c r="G221" s="39"/>
      <c r="H221" s="39"/>
      <c r="I221" s="40"/>
      <c r="J221" s="40"/>
      <c r="K221" s="39"/>
      <c r="L221" s="39"/>
      <c r="M221" s="39"/>
      <c r="N221" s="39"/>
      <c r="O221" s="39"/>
    </row>
    <row r="222" customFormat="false" ht="18.15" hidden="false" customHeight="true" outlineLevel="0" collapsed="false">
      <c r="B222" s="30"/>
      <c r="C222" s="31" t="str">
        <f aca="false">HYPERLINK("http://www.emi-penza.ru/p/223/", "811.3702")</f>
        <v>811.3702</v>
      </c>
      <c r="D222" s="32" t="s">
        <v>143</v>
      </c>
      <c r="E222" s="32"/>
      <c r="F222" s="32"/>
      <c r="G222" s="32"/>
      <c r="H222" s="32"/>
      <c r="I222" s="33" t="n">
        <v>33</v>
      </c>
      <c r="J222" s="33" t="n">
        <v>100</v>
      </c>
      <c r="K222" s="32"/>
      <c r="L222" s="32"/>
      <c r="M222" s="32"/>
      <c r="N222" s="32"/>
      <c r="O222" s="32"/>
    </row>
    <row r="223" customFormat="false" ht="14.15" hidden="false" customHeight="true" outlineLevel="0" collapsed="false">
      <c r="B223" s="34"/>
      <c r="C223" s="35" t="str">
        <f aca="false">HYPERLINK("http://www.emi-penza.ru/p/206/", "811.3702 З-Л")</f>
        <v>811.3702 З-Л</v>
      </c>
      <c r="D223" s="36" t="s">
        <v>144</v>
      </c>
      <c r="E223" s="36"/>
      <c r="F223" s="36"/>
      <c r="G223" s="36"/>
      <c r="H223" s="36"/>
      <c r="I223" s="37" t="n">
        <v>39</v>
      </c>
      <c r="J223" s="37" t="n">
        <v>80</v>
      </c>
      <c r="K223" s="36"/>
      <c r="L223" s="36"/>
      <c r="M223" s="36"/>
      <c r="N223" s="36"/>
      <c r="O223" s="36"/>
    </row>
    <row r="224" customFormat="false" ht="15" hidden="false" customHeight="true" outlineLevel="0" collapsed="false">
      <c r="B224" s="3"/>
      <c r="C224" s="38"/>
      <c r="D224" s="39" t="s">
        <v>145</v>
      </c>
      <c r="E224" s="39"/>
      <c r="F224" s="39"/>
      <c r="G224" s="39"/>
      <c r="H224" s="67"/>
      <c r="I224" s="40"/>
      <c r="J224" s="40"/>
      <c r="K224" s="39"/>
      <c r="L224" s="39"/>
      <c r="M224" s="39"/>
      <c r="N224" s="39"/>
      <c r="O224" s="39"/>
    </row>
    <row r="225" customFormat="false" ht="18.15" hidden="false" customHeight="true" outlineLevel="0" collapsed="false">
      <c r="B225" s="30"/>
      <c r="C225" s="31" t="str">
        <f aca="false">HYPERLINK("http://www.emi-penza.ru/p/224/", "811.3702-01")</f>
        <v>811.3702-01</v>
      </c>
      <c r="D225" s="32" t="s">
        <v>146</v>
      </c>
      <c r="E225" s="32"/>
      <c r="F225" s="32"/>
      <c r="G225" s="32"/>
      <c r="H225" s="32"/>
      <c r="I225" s="33" t="n">
        <v>34</v>
      </c>
      <c r="J225" s="33" t="n">
        <v>100</v>
      </c>
      <c r="K225" s="32"/>
      <c r="L225" s="32"/>
      <c r="M225" s="32"/>
      <c r="N225" s="32"/>
      <c r="O225" s="32"/>
    </row>
    <row r="226" customFormat="false" ht="18.15" hidden="false" customHeight="true" outlineLevel="0" collapsed="false">
      <c r="B226" s="30"/>
      <c r="C226" s="31" t="str">
        <f aca="false">HYPERLINK("http://www.emi-penza.ru/p/225/", "811.3702-02")</f>
        <v>811.3702-02</v>
      </c>
      <c r="D226" s="32" t="s">
        <v>147</v>
      </c>
      <c r="E226" s="32"/>
      <c r="F226" s="32"/>
      <c r="G226" s="32"/>
      <c r="H226" s="32"/>
      <c r="I226" s="33" t="n">
        <v>34</v>
      </c>
      <c r="J226" s="33" t="n">
        <v>100</v>
      </c>
      <c r="K226" s="32"/>
      <c r="L226" s="32"/>
      <c r="M226" s="32"/>
      <c r="N226" s="32"/>
      <c r="O226" s="32"/>
    </row>
    <row r="227" customFormat="false" ht="18.15" hidden="false" customHeight="true" outlineLevel="0" collapsed="false">
      <c r="B227" s="30"/>
      <c r="C227" s="31" t="str">
        <f aca="false">HYPERLINK("http://www.emi-penza.ru/p/226/", "811.3702-03")</f>
        <v>811.3702-03</v>
      </c>
      <c r="D227" s="32" t="s">
        <v>148</v>
      </c>
      <c r="E227" s="32"/>
      <c r="F227" s="32"/>
      <c r="G227" s="32"/>
      <c r="H227" s="32"/>
      <c r="I227" s="33" t="n">
        <v>34</v>
      </c>
      <c r="J227" s="33" t="n">
        <v>100</v>
      </c>
      <c r="K227" s="32"/>
      <c r="L227" s="32"/>
      <c r="M227" s="32"/>
      <c r="N227" s="32"/>
      <c r="O227" s="32"/>
    </row>
    <row r="228" customFormat="false" ht="18.15" hidden="false" customHeight="true" outlineLevel="0" collapsed="false">
      <c r="B228" s="30"/>
      <c r="C228" s="31" t="str">
        <f aca="false">HYPERLINK("http://www.emi-penza.ru/p/227/", "811.3702-04")</f>
        <v>811.3702-04</v>
      </c>
      <c r="D228" s="32" t="s">
        <v>149</v>
      </c>
      <c r="E228" s="32"/>
      <c r="F228" s="32"/>
      <c r="G228" s="32"/>
      <c r="H228" s="32"/>
      <c r="I228" s="33" t="n">
        <v>33</v>
      </c>
      <c r="J228" s="33" t="n">
        <v>100</v>
      </c>
      <c r="K228" s="32"/>
      <c r="L228" s="32"/>
      <c r="M228" s="32"/>
      <c r="N228" s="32"/>
      <c r="O228" s="32"/>
    </row>
    <row r="229" customFormat="false" ht="18.15" hidden="false" customHeight="true" outlineLevel="0" collapsed="false">
      <c r="B229" s="30"/>
      <c r="C229" s="31" t="str">
        <f aca="false">HYPERLINK("http://www.emi-penza.ru/p/228/", "811.3702-05")</f>
        <v>811.3702-05</v>
      </c>
      <c r="D229" s="32"/>
      <c r="E229" s="32"/>
      <c r="F229" s="32"/>
      <c r="G229" s="32"/>
      <c r="H229" s="32"/>
      <c r="I229" s="33" t="n">
        <v>33</v>
      </c>
      <c r="J229" s="33" t="n">
        <v>100</v>
      </c>
      <c r="K229" s="32"/>
      <c r="L229" s="32"/>
      <c r="M229" s="32"/>
      <c r="N229" s="32"/>
      <c r="O229" s="32"/>
    </row>
    <row r="230" customFormat="false" ht="18.15" hidden="false" customHeight="true" outlineLevel="0" collapsed="false">
      <c r="B230" s="30"/>
      <c r="C230" s="31" t="s">
        <v>150</v>
      </c>
      <c r="D230" s="32" t="s">
        <v>151</v>
      </c>
      <c r="E230" s="32"/>
      <c r="F230" s="32"/>
      <c r="G230" s="32"/>
      <c r="H230" s="32"/>
      <c r="I230" s="33" t="n">
        <v>33</v>
      </c>
      <c r="J230" s="33" t="n">
        <v>100</v>
      </c>
      <c r="K230" s="32"/>
      <c r="L230" s="32"/>
      <c r="M230" s="32"/>
      <c r="N230" s="32"/>
      <c r="O230" s="32"/>
    </row>
    <row r="231" customFormat="false" ht="18.15" hidden="false" customHeight="true" outlineLevel="0" collapsed="false">
      <c r="B231" s="30"/>
      <c r="C231" s="31" t="s">
        <v>152</v>
      </c>
      <c r="D231" s="32" t="s">
        <v>143</v>
      </c>
      <c r="E231" s="32"/>
      <c r="F231" s="32"/>
      <c r="G231" s="32"/>
      <c r="H231" s="32"/>
      <c r="I231" s="33" t="n">
        <v>33</v>
      </c>
      <c r="J231" s="33" t="n">
        <v>100</v>
      </c>
      <c r="K231" s="32"/>
      <c r="L231" s="32"/>
      <c r="M231" s="32"/>
      <c r="N231" s="32"/>
      <c r="O231" s="32"/>
    </row>
    <row r="232" customFormat="false" ht="18.15" hidden="false" customHeight="true" outlineLevel="0" collapsed="false">
      <c r="B232" s="30"/>
      <c r="C232" s="31" t="str">
        <f aca="false">HYPERLINK("http://www.emi-penza.ru/p/811.3702-10", "811.3702-10")</f>
        <v>811.3702-10</v>
      </c>
      <c r="D232" s="32" t="s">
        <v>143</v>
      </c>
      <c r="E232" s="32"/>
      <c r="F232" s="32"/>
      <c r="G232" s="32"/>
      <c r="H232" s="32"/>
      <c r="I232" s="33" t="n">
        <v>33</v>
      </c>
      <c r="J232" s="33" t="n">
        <v>100</v>
      </c>
      <c r="K232" s="32"/>
      <c r="L232" s="32"/>
      <c r="M232" s="32"/>
      <c r="N232" s="32"/>
      <c r="O232" s="32"/>
    </row>
    <row r="233" customFormat="false" ht="18.15" hidden="false" customHeight="true" outlineLevel="0" collapsed="false">
      <c r="B233" s="30"/>
      <c r="C233" s="51" t="str">
        <f aca="false">HYPERLINK("http://www.emi-penza.ru/p/811.3702-11", "811.3702-11")</f>
        <v>811.3702-11</v>
      </c>
      <c r="D233" s="52" t="s">
        <v>143</v>
      </c>
      <c r="E233" s="52"/>
      <c r="F233" s="52"/>
      <c r="G233" s="52"/>
      <c r="H233" s="52"/>
      <c r="I233" s="53" t="n">
        <v>33</v>
      </c>
      <c r="J233" s="53" t="n">
        <v>100</v>
      </c>
      <c r="K233" s="52"/>
      <c r="L233" s="52"/>
      <c r="M233" s="52"/>
      <c r="N233" s="52"/>
      <c r="O233" s="52"/>
    </row>
    <row r="234" customFormat="false" ht="9.95" hidden="false" customHeight="true" outlineLevel="0" collapsed="false">
      <c r="B234" s="3"/>
    </row>
    <row r="235" customFormat="false" ht="22.7" hidden="false" customHeight="true" outlineLevel="0" collapsed="false">
      <c r="B235" s="3"/>
      <c r="C235" s="28" t="s">
        <v>153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customFormat="false" ht="2.85" hidden="false" customHeight="true" outlineLevel="0" collapsed="false">
      <c r="B236" s="3"/>
    </row>
    <row r="237" customFormat="false" ht="14.15" hidden="false" customHeight="true" outlineLevel="0" collapsed="false">
      <c r="B237" s="34"/>
      <c r="C237" s="35" t="str">
        <f aca="false">HYPERLINK("http://www.emi-penza.ru/p/301/", "57.3777")</f>
        <v>57.3777</v>
      </c>
      <c r="D237" s="36" t="s">
        <v>154</v>
      </c>
      <c r="E237" s="36"/>
      <c r="F237" s="36"/>
      <c r="G237" s="36"/>
      <c r="H237" s="36"/>
      <c r="I237" s="37" t="n">
        <v>78</v>
      </c>
      <c r="J237" s="37"/>
      <c r="K237" s="37" t="n">
        <v>24</v>
      </c>
      <c r="L237" s="36" t="n">
        <v>30</v>
      </c>
      <c r="M237" s="36" t="n">
        <v>60</v>
      </c>
      <c r="N237" s="36" t="n">
        <v>120</v>
      </c>
      <c r="O237" s="36"/>
    </row>
    <row r="238" customFormat="false" ht="15" hidden="false" customHeight="true" outlineLevel="0" collapsed="false">
      <c r="B238" s="3"/>
      <c r="C238" s="38"/>
      <c r="D238" s="39"/>
      <c r="E238" s="39"/>
      <c r="F238" s="39"/>
      <c r="G238" s="39"/>
      <c r="H238" s="67" t="s">
        <v>121</v>
      </c>
      <c r="I238" s="40" t="n">
        <v>93</v>
      </c>
      <c r="J238" s="40"/>
      <c r="K238" s="40"/>
      <c r="L238" s="39" t="n">
        <v>20</v>
      </c>
      <c r="M238" s="39" t="n">
        <v>50</v>
      </c>
      <c r="N238" s="39" t="n">
        <v>100</v>
      </c>
      <c r="O238" s="39"/>
    </row>
    <row r="239" customFormat="false" ht="18.15" hidden="false" customHeight="true" outlineLevel="0" collapsed="false">
      <c r="B239" s="30"/>
      <c r="C239" s="31" t="str">
        <f aca="false">HYPERLINK("http://www.emi-penza.ru/p/302/", "57.3777-01")</f>
        <v>57.3777-01</v>
      </c>
      <c r="D239" s="32" t="s">
        <v>155</v>
      </c>
      <c r="E239" s="32"/>
      <c r="F239" s="32"/>
      <c r="G239" s="32"/>
      <c r="H239" s="42" t="s">
        <v>121</v>
      </c>
      <c r="I239" s="33" t="n">
        <v>93</v>
      </c>
      <c r="J239" s="33"/>
      <c r="K239" s="33"/>
      <c r="L239" s="32" t="n">
        <v>20</v>
      </c>
      <c r="M239" s="32" t="n">
        <v>50</v>
      </c>
      <c r="N239" s="32" t="n">
        <v>100</v>
      </c>
      <c r="O239" s="32"/>
    </row>
    <row r="240" customFormat="false" ht="18.15" hidden="false" customHeight="true" outlineLevel="0" collapsed="false">
      <c r="B240" s="30"/>
      <c r="C240" s="31" t="str">
        <f aca="false">HYPERLINK("http://www.emi-penza.ru/p/348/", "57.3777-01-З")</f>
        <v>57.3777-01-З</v>
      </c>
      <c r="D240" s="32" t="s">
        <v>155</v>
      </c>
      <c r="E240" s="32"/>
      <c r="F240" s="32"/>
      <c r="G240" s="32"/>
      <c r="H240" s="32"/>
      <c r="I240" s="33" t="n">
        <v>82</v>
      </c>
      <c r="J240" s="33"/>
      <c r="K240" s="33" t="n">
        <v>24</v>
      </c>
      <c r="L240" s="32" t="n">
        <v>30</v>
      </c>
      <c r="M240" s="32" t="n">
        <v>60</v>
      </c>
      <c r="N240" s="32" t="n">
        <v>120</v>
      </c>
      <c r="O240" s="32"/>
    </row>
    <row r="241" customFormat="false" ht="14.15" hidden="false" customHeight="true" outlineLevel="0" collapsed="false">
      <c r="B241" s="34"/>
      <c r="C241" s="35" t="str">
        <f aca="false">HYPERLINK("http://www.emi-penza.ru/p/349/", "57.3777-01 М")</f>
        <v>57.3777-01 М</v>
      </c>
      <c r="D241" s="36" t="s">
        <v>155</v>
      </c>
      <c r="E241" s="36"/>
      <c r="F241" s="36"/>
      <c r="G241" s="36"/>
      <c r="H241" s="36"/>
      <c r="I241" s="37" t="n">
        <v>84</v>
      </c>
      <c r="J241" s="37"/>
      <c r="K241" s="37" t="n">
        <v>24</v>
      </c>
      <c r="L241" s="36" t="n">
        <v>30</v>
      </c>
      <c r="M241" s="36" t="n">
        <v>60</v>
      </c>
      <c r="N241" s="36" t="n">
        <v>120</v>
      </c>
      <c r="O241" s="36"/>
    </row>
    <row r="242" customFormat="false" ht="15" hidden="false" customHeight="true" outlineLevel="0" collapsed="false">
      <c r="B242" s="3"/>
      <c r="C242" s="38"/>
      <c r="D242" s="39"/>
      <c r="E242" s="39"/>
      <c r="F242" s="39"/>
      <c r="G242" s="39"/>
      <c r="H242" s="39"/>
      <c r="I242" s="40"/>
      <c r="J242" s="40"/>
      <c r="K242" s="40"/>
      <c r="L242" s="39"/>
      <c r="M242" s="39"/>
      <c r="N242" s="39"/>
      <c r="O242" s="39"/>
    </row>
    <row r="243" customFormat="false" ht="14.15" hidden="false" customHeight="true" outlineLevel="0" collapsed="false">
      <c r="B243" s="34"/>
      <c r="C243" s="35" t="str">
        <f aca="false">HYPERLINK("http://www.emi-penza.ru/p/327/", "57.3777-02")</f>
        <v>57.3777-02</v>
      </c>
      <c r="D243" s="36" t="s">
        <v>154</v>
      </c>
      <c r="E243" s="36"/>
      <c r="F243" s="36"/>
      <c r="G243" s="36"/>
      <c r="H243" s="36"/>
      <c r="I243" s="37" t="n">
        <v>82</v>
      </c>
      <c r="J243" s="37"/>
      <c r="K243" s="37" t="n">
        <v>24</v>
      </c>
      <c r="L243" s="36" t="n">
        <v>30</v>
      </c>
      <c r="M243" s="36" t="n">
        <v>60</v>
      </c>
      <c r="N243" s="36" t="n">
        <v>120</v>
      </c>
      <c r="O243" s="36"/>
    </row>
    <row r="244" customFormat="false" ht="15" hidden="false" customHeight="true" outlineLevel="0" collapsed="false">
      <c r="B244" s="3"/>
      <c r="C244" s="38"/>
      <c r="D244" s="39"/>
      <c r="E244" s="39"/>
      <c r="F244" s="39"/>
      <c r="G244" s="39"/>
      <c r="H244" s="39"/>
      <c r="I244" s="40"/>
      <c r="J244" s="40"/>
      <c r="K244" s="40"/>
      <c r="L244" s="39"/>
      <c r="M244" s="39"/>
      <c r="N244" s="39"/>
      <c r="O244" s="39"/>
    </row>
    <row r="245" customFormat="false" ht="15" hidden="false" customHeight="true" outlineLevel="0" collapsed="false">
      <c r="B245" s="30"/>
      <c r="C245" s="31" t="str">
        <f aca="false">HYPERLINK("http://www.emi-penza.ru/p/362/", "57.3777-04")</f>
        <v>57.3777-04</v>
      </c>
      <c r="D245" s="32" t="s">
        <v>156</v>
      </c>
      <c r="E245" s="32"/>
      <c r="F245" s="32"/>
      <c r="G245" s="32"/>
      <c r="H245" s="32"/>
      <c r="I245" s="33" t="n">
        <v>70</v>
      </c>
      <c r="J245" s="33"/>
      <c r="K245" s="33" t="n">
        <v>24</v>
      </c>
      <c r="L245" s="32" t="n">
        <v>30</v>
      </c>
      <c r="M245" s="32" t="n">
        <v>60</v>
      </c>
      <c r="N245" s="32" t="n">
        <v>120</v>
      </c>
      <c r="O245" s="32"/>
    </row>
    <row r="246" customFormat="false" ht="15" hidden="false" customHeight="true" outlineLevel="0" collapsed="false">
      <c r="B246" s="30"/>
      <c r="C246" s="31" t="str">
        <f aca="false">HYPERLINK("http://www.emi-penza.ru/p/357/", "57.3777-05")</f>
        <v>57.3777-05</v>
      </c>
      <c r="D246" s="32" t="s">
        <v>157</v>
      </c>
      <c r="E246" s="32"/>
      <c r="F246" s="32"/>
      <c r="G246" s="32"/>
      <c r="H246" s="32"/>
      <c r="I246" s="33" t="n">
        <v>65</v>
      </c>
      <c r="J246" s="33"/>
      <c r="K246" s="33" t="n">
        <v>26</v>
      </c>
      <c r="L246" s="32" t="n">
        <v>32</v>
      </c>
      <c r="M246" s="32" t="n">
        <v>76</v>
      </c>
      <c r="N246" s="32" t="n">
        <v>190</v>
      </c>
      <c r="O246" s="32"/>
    </row>
    <row r="247" customFormat="false" ht="15" hidden="false" customHeight="true" outlineLevel="0" collapsed="false">
      <c r="B247" s="30"/>
      <c r="C247" s="31" t="str">
        <f aca="false">HYPERLINK("http://www.emi-penza.ru/p/363/", "57.3777-06")</f>
        <v>57.3777-06</v>
      </c>
      <c r="D247" s="32" t="s">
        <v>158</v>
      </c>
      <c r="E247" s="32"/>
      <c r="F247" s="32"/>
      <c r="G247" s="32"/>
      <c r="H247" s="32"/>
      <c r="I247" s="33" t="n">
        <v>70</v>
      </c>
      <c r="J247" s="33"/>
      <c r="K247" s="33" t="n">
        <v>24</v>
      </c>
      <c r="L247" s="32" t="n">
        <v>30</v>
      </c>
      <c r="M247" s="32" t="n">
        <v>60</v>
      </c>
      <c r="N247" s="32" t="n">
        <v>120</v>
      </c>
      <c r="O247" s="32"/>
    </row>
    <row r="248" customFormat="false" ht="15" hidden="false" customHeight="true" outlineLevel="0" collapsed="false">
      <c r="B248" s="30"/>
      <c r="C248" s="31" t="str">
        <f aca="false">HYPERLINK("http://www.emi-penza.ru/p/358/", "57.3777-07")</f>
        <v>57.3777-07</v>
      </c>
      <c r="D248" s="32" t="s">
        <v>159</v>
      </c>
      <c r="E248" s="32"/>
      <c r="F248" s="32"/>
      <c r="G248" s="32"/>
      <c r="H248" s="32"/>
      <c r="I248" s="33" t="n">
        <v>65</v>
      </c>
      <c r="J248" s="33"/>
      <c r="K248" s="33" t="n">
        <v>26</v>
      </c>
      <c r="L248" s="32" t="n">
        <v>32</v>
      </c>
      <c r="M248" s="32" t="n">
        <v>76</v>
      </c>
      <c r="N248" s="32" t="n">
        <v>190</v>
      </c>
      <c r="O248" s="32"/>
    </row>
    <row r="249" customFormat="false" ht="18.15" hidden="false" customHeight="true" outlineLevel="0" collapsed="false">
      <c r="B249" s="30"/>
      <c r="C249" s="31" t="str">
        <f aca="false">HYPERLINK("http://www.emi-penza.ru/p/331/", "59.3787")</f>
        <v>59.3787</v>
      </c>
      <c r="D249" s="32" t="s">
        <v>160</v>
      </c>
      <c r="E249" s="32"/>
      <c r="F249" s="32"/>
      <c r="G249" s="32"/>
      <c r="H249" s="32"/>
      <c r="I249" s="33" t="n">
        <v>24</v>
      </c>
      <c r="J249" s="33"/>
      <c r="K249" s="33" t="n">
        <v>24</v>
      </c>
      <c r="L249" s="32" t="n">
        <v>30</v>
      </c>
      <c r="M249" s="32" t="n">
        <v>60</v>
      </c>
      <c r="N249" s="32" t="n">
        <v>120</v>
      </c>
      <c r="O249" s="32"/>
    </row>
    <row r="250" customFormat="false" ht="18.15" hidden="false" customHeight="true" outlineLevel="0" collapsed="false">
      <c r="B250" s="30"/>
      <c r="C250" s="31" t="str">
        <f aca="false">HYPERLINK("http://www.emi-penza.ru/p/352/", "64.3777")</f>
        <v>64.3777</v>
      </c>
      <c r="D250" s="32" t="s">
        <v>161</v>
      </c>
      <c r="E250" s="32"/>
      <c r="F250" s="32"/>
      <c r="G250" s="32"/>
      <c r="H250" s="32"/>
      <c r="I250" s="33" t="n">
        <v>25</v>
      </c>
      <c r="J250" s="33"/>
      <c r="K250" s="33" t="n">
        <v>250</v>
      </c>
      <c r="L250" s="32"/>
      <c r="M250" s="32"/>
      <c r="N250" s="32"/>
      <c r="O250" s="32"/>
    </row>
    <row r="251" customFormat="false" ht="18.15" hidden="false" customHeight="true" outlineLevel="0" collapsed="false">
      <c r="B251" s="30"/>
      <c r="C251" s="54" t="str">
        <f aca="false">HYPERLINK("http://www.emi-penza.ru/p/343/", "68.3787")</f>
        <v>68.3787</v>
      </c>
      <c r="D251" s="44" t="s">
        <v>162</v>
      </c>
      <c r="E251" s="44"/>
      <c r="F251" s="44"/>
      <c r="G251" s="44"/>
      <c r="H251" s="44"/>
      <c r="I251" s="45" t="n">
        <v>45</v>
      </c>
      <c r="J251" s="45"/>
      <c r="K251" s="45" t="n">
        <v>100</v>
      </c>
      <c r="L251" s="44"/>
      <c r="M251" s="44"/>
      <c r="N251" s="44"/>
      <c r="O251" s="44"/>
    </row>
    <row r="252" customFormat="false" ht="14.15" hidden="false" customHeight="true" outlineLevel="0" collapsed="false">
      <c r="B252" s="34"/>
      <c r="C252" s="35" t="str">
        <f aca="false">HYPERLINK("http://www.emi-penza.ru/p/303/", "571.3777")</f>
        <v>571.3777</v>
      </c>
      <c r="D252" s="36" t="s">
        <v>163</v>
      </c>
      <c r="E252" s="36"/>
      <c r="F252" s="36"/>
      <c r="G252" s="36"/>
      <c r="H252" s="36"/>
      <c r="I252" s="37" t="n">
        <v>77</v>
      </c>
      <c r="J252" s="37"/>
      <c r="K252" s="37" t="n">
        <v>24</v>
      </c>
      <c r="L252" s="36" t="n">
        <v>30</v>
      </c>
      <c r="M252" s="36" t="n">
        <v>60</v>
      </c>
      <c r="N252" s="36" t="n">
        <v>120</v>
      </c>
      <c r="O252" s="36"/>
    </row>
    <row r="253" customFormat="false" ht="15" hidden="false" customHeight="true" outlineLevel="0" collapsed="false">
      <c r="B253" s="3"/>
      <c r="C253" s="38"/>
      <c r="D253" s="39"/>
      <c r="E253" s="39"/>
      <c r="F253" s="39"/>
      <c r="G253" s="39"/>
      <c r="H253" s="67" t="s">
        <v>121</v>
      </c>
      <c r="I253" s="40" t="n">
        <v>92</v>
      </c>
      <c r="J253" s="40"/>
      <c r="K253" s="40"/>
      <c r="L253" s="39" t="n">
        <v>20</v>
      </c>
      <c r="M253" s="39" t="n">
        <v>50</v>
      </c>
      <c r="N253" s="39" t="n">
        <v>100</v>
      </c>
      <c r="O253" s="39"/>
    </row>
    <row r="254" customFormat="false" ht="14.15" hidden="false" customHeight="true" outlineLevel="0" collapsed="false">
      <c r="B254" s="34"/>
      <c r="C254" s="35" t="str">
        <f aca="false">HYPERLINK("http://www.emi-penza.ru/p/304/", "572.3777")</f>
        <v>572.3777</v>
      </c>
      <c r="D254" s="36" t="s">
        <v>164</v>
      </c>
      <c r="E254" s="36"/>
      <c r="F254" s="36"/>
      <c r="G254" s="36"/>
      <c r="H254" s="36"/>
      <c r="I254" s="37" t="n">
        <v>77</v>
      </c>
      <c r="J254" s="37"/>
      <c r="K254" s="37" t="n">
        <v>24</v>
      </c>
      <c r="L254" s="36" t="n">
        <v>30</v>
      </c>
      <c r="M254" s="36" t="n">
        <v>60</v>
      </c>
      <c r="N254" s="36" t="n">
        <v>120</v>
      </c>
      <c r="O254" s="36"/>
    </row>
    <row r="255" customFormat="false" ht="15" hidden="false" customHeight="true" outlineLevel="0" collapsed="false">
      <c r="B255" s="3"/>
      <c r="C255" s="38"/>
      <c r="D255" s="39"/>
      <c r="E255" s="39"/>
      <c r="F255" s="39"/>
      <c r="G255" s="39"/>
      <c r="H255" s="67" t="s">
        <v>121</v>
      </c>
      <c r="I255" s="40" t="n">
        <v>92</v>
      </c>
      <c r="J255" s="40"/>
      <c r="K255" s="40"/>
      <c r="L255" s="39" t="n">
        <v>20</v>
      </c>
      <c r="M255" s="39" t="n">
        <v>50</v>
      </c>
      <c r="N255" s="39" t="n">
        <v>100</v>
      </c>
      <c r="O255" s="39"/>
    </row>
    <row r="256" customFormat="false" ht="18.15" hidden="false" customHeight="true" outlineLevel="0" collapsed="false">
      <c r="B256" s="30"/>
      <c r="C256" s="31" t="str">
        <f aca="false">HYPERLINK("http://www.emi-penza.ru/p/306/", "573.3777")</f>
        <v>573.3777</v>
      </c>
      <c r="D256" s="32" t="s">
        <v>165</v>
      </c>
      <c r="E256" s="32"/>
      <c r="F256" s="32"/>
      <c r="G256" s="32"/>
      <c r="H256" s="32"/>
      <c r="I256" s="33" t="n">
        <v>77</v>
      </c>
      <c r="J256" s="33"/>
      <c r="K256" s="33" t="n">
        <v>24</v>
      </c>
      <c r="L256" s="32" t="n">
        <v>30</v>
      </c>
      <c r="M256" s="32" t="n">
        <v>60</v>
      </c>
      <c r="N256" s="32" t="n">
        <v>120</v>
      </c>
      <c r="O256" s="32"/>
    </row>
    <row r="257" customFormat="false" ht="18.15" hidden="false" customHeight="true" outlineLevel="0" collapsed="false">
      <c r="B257" s="30"/>
      <c r="C257" s="31" t="str">
        <f aca="false">HYPERLINK("http://www.emi-penza.ru/p/305/", "574.3777")</f>
        <v>574.3777</v>
      </c>
      <c r="D257" s="32" t="s">
        <v>166</v>
      </c>
      <c r="E257" s="32"/>
      <c r="F257" s="32"/>
      <c r="G257" s="32"/>
      <c r="H257" s="32"/>
      <c r="I257" s="33" t="n">
        <v>93</v>
      </c>
      <c r="J257" s="33"/>
      <c r="K257" s="33" t="n">
        <v>24</v>
      </c>
      <c r="L257" s="32" t="n">
        <v>30</v>
      </c>
      <c r="M257" s="32" t="n">
        <v>60</v>
      </c>
      <c r="N257" s="32" t="n">
        <v>120</v>
      </c>
      <c r="O257" s="32"/>
    </row>
    <row r="258" customFormat="false" ht="14.15" hidden="false" customHeight="true" outlineLevel="0" collapsed="false">
      <c r="B258" s="34"/>
      <c r="C258" s="35" t="str">
        <f aca="false">HYPERLINK("http://www.emi-penza.ru/p/307/", "575.3777")</f>
        <v>575.3777</v>
      </c>
      <c r="D258" s="36" t="s">
        <v>167</v>
      </c>
      <c r="E258" s="36"/>
      <c r="F258" s="36"/>
      <c r="G258" s="36"/>
      <c r="H258" s="36"/>
      <c r="I258" s="37" t="n">
        <v>107</v>
      </c>
      <c r="J258" s="37"/>
      <c r="K258" s="37" t="n">
        <v>24</v>
      </c>
      <c r="L258" s="36" t="n">
        <v>30</v>
      </c>
      <c r="M258" s="36" t="n">
        <v>60</v>
      </c>
      <c r="N258" s="36" t="n">
        <v>120</v>
      </c>
      <c r="O258" s="36"/>
    </row>
    <row r="259" customFormat="false" ht="15" hidden="false" customHeight="true" outlineLevel="0" collapsed="false">
      <c r="B259" s="3"/>
      <c r="C259" s="38"/>
      <c r="D259" s="39"/>
      <c r="E259" s="39"/>
      <c r="F259" s="39"/>
      <c r="G259" s="39"/>
      <c r="H259" s="39"/>
      <c r="I259" s="40"/>
      <c r="J259" s="40"/>
      <c r="K259" s="40"/>
      <c r="L259" s="39"/>
      <c r="M259" s="39"/>
      <c r="N259" s="39"/>
      <c r="O259" s="39"/>
    </row>
    <row r="260" customFormat="false" ht="14.15" hidden="false" customHeight="true" outlineLevel="0" collapsed="false">
      <c r="B260" s="34"/>
      <c r="C260" s="35" t="str">
        <f aca="false">HYPERLINK("http://www.emi-penza.ru/p/321/", "575.3777-01")</f>
        <v>575.3777-01</v>
      </c>
      <c r="D260" s="36"/>
      <c r="E260" s="36"/>
      <c r="F260" s="36"/>
      <c r="G260" s="36"/>
      <c r="H260" s="36"/>
      <c r="I260" s="37" t="n">
        <v>107</v>
      </c>
      <c r="J260" s="37"/>
      <c r="K260" s="37" t="n">
        <v>24</v>
      </c>
      <c r="L260" s="36" t="n">
        <v>30</v>
      </c>
      <c r="M260" s="36" t="n">
        <v>60</v>
      </c>
      <c r="N260" s="36" t="n">
        <v>120</v>
      </c>
      <c r="O260" s="36"/>
    </row>
    <row r="261" customFormat="false" ht="15" hidden="false" customHeight="true" outlineLevel="0" collapsed="false">
      <c r="B261" s="3"/>
      <c r="C261" s="38"/>
      <c r="D261" s="39"/>
      <c r="E261" s="39"/>
      <c r="F261" s="39"/>
      <c r="G261" s="39"/>
      <c r="H261" s="39"/>
      <c r="I261" s="40"/>
      <c r="J261" s="40"/>
      <c r="K261" s="40"/>
      <c r="L261" s="39"/>
      <c r="M261" s="39"/>
      <c r="N261" s="39"/>
      <c r="O261" s="39"/>
    </row>
    <row r="262" customFormat="false" ht="14.15" hidden="false" customHeight="true" outlineLevel="0" collapsed="false">
      <c r="B262" s="34"/>
      <c r="C262" s="35" t="str">
        <f aca="false">HYPERLINK("http://www.emi-penza.ru/p/319/", "575.3777-02")</f>
        <v>575.3777-02</v>
      </c>
      <c r="D262" s="36"/>
      <c r="E262" s="36"/>
      <c r="F262" s="36"/>
      <c r="G262" s="36"/>
      <c r="H262" s="36"/>
      <c r="I262" s="37" t="n">
        <v>107</v>
      </c>
      <c r="J262" s="37"/>
      <c r="K262" s="37"/>
      <c r="L262" s="36"/>
      <c r="M262" s="36"/>
      <c r="N262" s="36"/>
      <c r="O262" s="36"/>
    </row>
    <row r="263" customFormat="false" ht="15" hidden="false" customHeight="true" outlineLevel="0" collapsed="false">
      <c r="B263" s="3"/>
      <c r="C263" s="38"/>
      <c r="D263" s="39"/>
      <c r="E263" s="39"/>
      <c r="F263" s="39"/>
      <c r="G263" s="39"/>
      <c r="H263" s="39"/>
      <c r="I263" s="40"/>
      <c r="J263" s="40"/>
      <c r="K263" s="40"/>
      <c r="L263" s="39"/>
      <c r="M263" s="39"/>
      <c r="N263" s="39"/>
      <c r="O263" s="39"/>
    </row>
    <row r="264" customFormat="false" ht="14.15" hidden="false" customHeight="true" outlineLevel="0" collapsed="false">
      <c r="B264" s="34"/>
      <c r="C264" s="35" t="str">
        <f aca="false">HYPERLINK("http://www.emi-penza.ru/p/353/", "641.3777")</f>
        <v>641.3777</v>
      </c>
      <c r="D264" s="36" t="s">
        <v>168</v>
      </c>
      <c r="E264" s="36"/>
      <c r="F264" s="36"/>
      <c r="G264" s="36"/>
      <c r="H264" s="36"/>
      <c r="I264" s="37" t="n">
        <v>25</v>
      </c>
      <c r="J264" s="37"/>
      <c r="K264" s="37" t="n">
        <v>250</v>
      </c>
      <c r="L264" s="36"/>
      <c r="M264" s="36"/>
      <c r="N264" s="36"/>
      <c r="O264" s="36"/>
    </row>
    <row r="265" customFormat="false" ht="15" hidden="false" customHeight="true" outlineLevel="0" collapsed="false">
      <c r="B265" s="3"/>
      <c r="C265" s="38"/>
      <c r="D265" s="39" t="s">
        <v>169</v>
      </c>
      <c r="E265" s="39"/>
      <c r="F265" s="39"/>
      <c r="G265" s="39"/>
      <c r="H265" s="67"/>
      <c r="I265" s="40"/>
      <c r="J265" s="40"/>
      <c r="K265" s="40"/>
      <c r="L265" s="39"/>
      <c r="M265" s="39"/>
      <c r="N265" s="39"/>
      <c r="O265" s="39"/>
    </row>
    <row r="266" customFormat="false" ht="18.15" hidden="false" customHeight="true" outlineLevel="0" collapsed="false">
      <c r="B266" s="30"/>
      <c r="C266" s="31" t="str">
        <f aca="false">HYPERLINK("http://www.emi-penza.ru/p/308/", "642.3777")</f>
        <v>642.3777</v>
      </c>
      <c r="D266" s="32" t="s">
        <v>170</v>
      </c>
      <c r="E266" s="32"/>
      <c r="F266" s="32"/>
      <c r="G266" s="32"/>
      <c r="H266" s="32"/>
      <c r="I266" s="33" t="n">
        <v>42</v>
      </c>
      <c r="J266" s="33"/>
      <c r="K266" s="33" t="n">
        <v>60</v>
      </c>
      <c r="L266" s="32"/>
      <c r="M266" s="32"/>
      <c r="N266" s="32"/>
      <c r="O266" s="32"/>
    </row>
    <row r="267" customFormat="false" ht="18.15" hidden="false" customHeight="true" outlineLevel="0" collapsed="false">
      <c r="B267" s="30"/>
      <c r="C267" s="31" t="str">
        <f aca="false">HYPERLINK("http://www.emi-penza.ru/p/340/", "642.3777 М")</f>
        <v>642.3777 М</v>
      </c>
      <c r="D267" s="32" t="s">
        <v>170</v>
      </c>
      <c r="E267" s="32"/>
      <c r="F267" s="32"/>
      <c r="G267" s="32"/>
      <c r="H267" s="32"/>
      <c r="I267" s="33" t="n">
        <v>35</v>
      </c>
      <c r="J267" s="33"/>
      <c r="K267" s="33" t="n">
        <v>100</v>
      </c>
      <c r="L267" s="32"/>
      <c r="M267" s="32"/>
      <c r="N267" s="32"/>
      <c r="O267" s="32"/>
    </row>
    <row r="268" customFormat="false" ht="18.15" hidden="false" customHeight="true" outlineLevel="0" collapsed="false">
      <c r="B268" s="30"/>
      <c r="C268" s="31" t="str">
        <f aca="false">HYPERLINK("http://www.emi-penza.ru/p/322/", "642.3777-01")</f>
        <v>642.3777-01</v>
      </c>
      <c r="D268" s="32" t="s">
        <v>171</v>
      </c>
      <c r="E268" s="32"/>
      <c r="F268" s="32"/>
      <c r="G268" s="32"/>
      <c r="H268" s="32"/>
      <c r="I268" s="33" t="n">
        <v>42</v>
      </c>
      <c r="J268" s="33"/>
      <c r="K268" s="33" t="n">
        <v>60</v>
      </c>
      <c r="L268" s="32"/>
      <c r="M268" s="32"/>
      <c r="N268" s="32"/>
      <c r="O268" s="32"/>
    </row>
    <row r="269" customFormat="false" ht="18.15" hidden="false" customHeight="true" outlineLevel="0" collapsed="false">
      <c r="B269" s="30"/>
      <c r="C269" s="31" t="str">
        <f aca="false">HYPERLINK("http://www.emi-penza.ru/p/350/", "642.3777-01 М")</f>
        <v>642.3777-01 М</v>
      </c>
      <c r="D269" s="32" t="s">
        <v>171</v>
      </c>
      <c r="E269" s="32"/>
      <c r="F269" s="32"/>
      <c r="G269" s="32"/>
      <c r="H269" s="32"/>
      <c r="I269" s="33" t="n">
        <v>28</v>
      </c>
      <c r="J269" s="33"/>
      <c r="K269" s="33" t="n">
        <v>100</v>
      </c>
      <c r="L269" s="32"/>
      <c r="M269" s="32"/>
      <c r="N269" s="32"/>
      <c r="O269" s="32"/>
    </row>
    <row r="270" customFormat="false" ht="18.15" hidden="false" customHeight="true" outlineLevel="0" collapsed="false">
      <c r="B270" s="30"/>
      <c r="C270" s="31" t="str">
        <f aca="false">HYPERLINK("http://www.emi-penza.ru/p/323/", "642.3777-02")</f>
        <v>642.3777-02</v>
      </c>
      <c r="D270" s="32" t="s">
        <v>172</v>
      </c>
      <c r="E270" s="32"/>
      <c r="F270" s="32"/>
      <c r="G270" s="32"/>
      <c r="H270" s="32"/>
      <c r="I270" s="33" t="n">
        <v>42</v>
      </c>
      <c r="J270" s="33"/>
      <c r="K270" s="33" t="n">
        <v>60</v>
      </c>
      <c r="L270" s="32"/>
      <c r="M270" s="32"/>
      <c r="N270" s="32"/>
      <c r="O270" s="32"/>
    </row>
    <row r="271" customFormat="false" ht="14.15" hidden="false" customHeight="true" outlineLevel="0" collapsed="false">
      <c r="B271" s="34"/>
      <c r="C271" s="35" t="str">
        <f aca="false">HYPERLINK("http://www.emi-penza.ru/p/332/", "642.3777-03")</f>
        <v>642.3777-03</v>
      </c>
      <c r="D271" s="36" t="s">
        <v>173</v>
      </c>
      <c r="E271" s="36"/>
      <c r="F271" s="36"/>
      <c r="G271" s="36"/>
      <c r="H271" s="36"/>
      <c r="I271" s="37" t="n">
        <v>35</v>
      </c>
      <c r="J271" s="37"/>
      <c r="K271" s="37" t="n">
        <v>60</v>
      </c>
      <c r="L271" s="36"/>
      <c r="M271" s="36"/>
      <c r="N271" s="36"/>
      <c r="O271" s="36"/>
    </row>
    <row r="272" customFormat="false" ht="15" hidden="false" customHeight="true" outlineLevel="0" collapsed="false">
      <c r="B272" s="3"/>
      <c r="C272" s="38"/>
      <c r="D272" s="39" t="s">
        <v>174</v>
      </c>
      <c r="E272" s="39"/>
      <c r="F272" s="39"/>
      <c r="G272" s="39"/>
      <c r="H272" s="39"/>
      <c r="I272" s="40"/>
      <c r="J272" s="40"/>
      <c r="K272" s="40"/>
      <c r="L272" s="39"/>
      <c r="M272" s="39"/>
      <c r="N272" s="39"/>
      <c r="O272" s="39"/>
    </row>
    <row r="273" customFormat="false" ht="14.15" hidden="false" customHeight="true" outlineLevel="0" collapsed="false">
      <c r="B273" s="34"/>
      <c r="C273" s="35" t="str">
        <f aca="false">HYPERLINK("http://www.emi-penza.ru/p/341/", "642.3777-03 М")</f>
        <v>642.3777-03 М</v>
      </c>
      <c r="D273" s="36" t="s">
        <v>173</v>
      </c>
      <c r="E273" s="36"/>
      <c r="F273" s="36"/>
      <c r="G273" s="36"/>
      <c r="H273" s="36"/>
      <c r="I273" s="37" t="n">
        <v>29</v>
      </c>
      <c r="J273" s="37"/>
      <c r="K273" s="37" t="n">
        <v>100</v>
      </c>
      <c r="L273" s="36"/>
      <c r="M273" s="36"/>
      <c r="N273" s="36"/>
      <c r="O273" s="36"/>
    </row>
    <row r="274" customFormat="false" ht="15" hidden="false" customHeight="true" outlineLevel="0" collapsed="false">
      <c r="B274" s="3"/>
      <c r="C274" s="38"/>
      <c r="D274" s="39" t="s">
        <v>174</v>
      </c>
      <c r="E274" s="39"/>
      <c r="F274" s="39"/>
      <c r="G274" s="39"/>
      <c r="H274" s="39"/>
      <c r="I274" s="40"/>
      <c r="J274" s="40"/>
      <c r="K274" s="40"/>
      <c r="L274" s="39"/>
      <c r="M274" s="39"/>
      <c r="N274" s="39"/>
      <c r="O274" s="39"/>
    </row>
    <row r="275" customFormat="false" ht="14.15" hidden="false" customHeight="true" outlineLevel="0" collapsed="false">
      <c r="B275" s="34"/>
      <c r="C275" s="35" t="str">
        <f aca="false">HYPERLINK("http://www.emi-penza.ru/p/342/", "642.3777-04")</f>
        <v>642.3777-04</v>
      </c>
      <c r="D275" s="36" t="s">
        <v>175</v>
      </c>
      <c r="E275" s="36"/>
      <c r="F275" s="36"/>
      <c r="G275" s="36"/>
      <c r="H275" s="36"/>
      <c r="I275" s="37" t="n">
        <v>42</v>
      </c>
      <c r="J275" s="37"/>
      <c r="K275" s="37" t="n">
        <v>60</v>
      </c>
      <c r="L275" s="36"/>
      <c r="M275" s="36"/>
      <c r="N275" s="36"/>
      <c r="O275" s="36"/>
    </row>
    <row r="276" customFormat="false" ht="15" hidden="false" customHeight="true" outlineLevel="0" collapsed="false">
      <c r="B276" s="3"/>
      <c r="C276" s="38"/>
      <c r="D276" s="39"/>
      <c r="E276" s="39"/>
      <c r="F276" s="39"/>
      <c r="G276" s="39"/>
      <c r="H276" s="39"/>
      <c r="I276" s="40"/>
      <c r="J276" s="40"/>
      <c r="K276" s="40"/>
      <c r="L276" s="39"/>
      <c r="M276" s="39"/>
      <c r="N276" s="39"/>
      <c r="O276" s="39"/>
    </row>
    <row r="277" customFormat="false" ht="18.15" hidden="false" customHeight="true" outlineLevel="0" collapsed="false">
      <c r="B277" s="30"/>
      <c r="C277" s="31" t="str">
        <f aca="false">HYPERLINK("http://www.emi-penza.ru/p/642.3777-04_M/", "642.3777-04 М")</f>
        <v>642.3777-04 М</v>
      </c>
      <c r="D277" s="32" t="s">
        <v>176</v>
      </c>
      <c r="E277" s="32"/>
      <c r="F277" s="32"/>
      <c r="G277" s="32"/>
      <c r="H277" s="32"/>
      <c r="I277" s="33" t="n">
        <v>42</v>
      </c>
      <c r="J277" s="33"/>
      <c r="K277" s="33" t="n">
        <v>60</v>
      </c>
      <c r="L277" s="32"/>
      <c r="M277" s="32"/>
      <c r="N277" s="32"/>
      <c r="O277" s="32"/>
    </row>
    <row r="278" customFormat="false" ht="14.15" hidden="false" customHeight="true" outlineLevel="0" collapsed="false">
      <c r="B278" s="34"/>
      <c r="C278" s="35" t="str">
        <f aca="false">HYPERLINK("https://www.emi-penza.ru/p/642.3777-05_LED", "642.3777-05 LED")</f>
        <v>642.3777-05 LED</v>
      </c>
      <c r="D278" s="36"/>
      <c r="E278" s="36"/>
      <c r="F278" s="36"/>
      <c r="G278" s="36"/>
      <c r="H278" s="36"/>
      <c r="I278" s="37" t="n">
        <v>35</v>
      </c>
      <c r="J278" s="37"/>
      <c r="K278" s="37"/>
      <c r="L278" s="36" t="n">
        <v>100</v>
      </c>
      <c r="M278" s="36"/>
      <c r="N278" s="36"/>
      <c r="O278" s="36"/>
    </row>
    <row r="279" customFormat="false" ht="15" hidden="false" customHeight="true" outlineLevel="0" collapsed="false">
      <c r="B279" s="3"/>
      <c r="C279" s="38"/>
      <c r="D279" s="39"/>
      <c r="E279" s="39"/>
      <c r="F279" s="39"/>
      <c r="G279" s="39"/>
      <c r="H279" s="39"/>
      <c r="I279" s="40"/>
      <c r="J279" s="40"/>
      <c r="K279" s="40"/>
      <c r="L279" s="39"/>
      <c r="M279" s="39"/>
      <c r="N279" s="39"/>
      <c r="O279" s="39"/>
    </row>
    <row r="280" customFormat="false" ht="18.15" hidden="false" customHeight="true" outlineLevel="0" collapsed="false">
      <c r="B280" s="30"/>
      <c r="C280" s="31" t="str">
        <f aca="false">HYPERLINK("http://www.emi-penza.ru/p/324/", "643.3777")</f>
        <v>643.3777</v>
      </c>
      <c r="D280" s="32" t="s">
        <v>177</v>
      </c>
      <c r="E280" s="32"/>
      <c r="F280" s="32"/>
      <c r="G280" s="32"/>
      <c r="H280" s="32"/>
      <c r="I280" s="33" t="n">
        <v>93</v>
      </c>
      <c r="J280" s="33"/>
      <c r="K280" s="33" t="n">
        <v>24</v>
      </c>
      <c r="L280" s="32" t="n">
        <v>30</v>
      </c>
      <c r="M280" s="32" t="n">
        <v>60</v>
      </c>
      <c r="N280" s="32" t="n">
        <v>120</v>
      </c>
      <c r="O280" s="32"/>
    </row>
    <row r="281" customFormat="false" ht="18.15" hidden="false" customHeight="true" outlineLevel="0" collapsed="false">
      <c r="B281" s="30"/>
      <c r="C281" s="31" t="str">
        <f aca="false">HYPERLINK("http://www.emi-penza.ru/p/333/", "643.3777-01")</f>
        <v>643.3777-01</v>
      </c>
      <c r="D281" s="32" t="s">
        <v>177</v>
      </c>
      <c r="E281" s="32"/>
      <c r="F281" s="32"/>
      <c r="G281" s="32"/>
      <c r="H281" s="32"/>
      <c r="I281" s="33" t="n">
        <v>93</v>
      </c>
      <c r="J281" s="33"/>
      <c r="K281" s="33" t="n">
        <v>24</v>
      </c>
      <c r="L281" s="32" t="n">
        <v>30</v>
      </c>
      <c r="M281" s="32" t="n">
        <v>60</v>
      </c>
      <c r="N281" s="32" t="n">
        <v>120</v>
      </c>
      <c r="O281" s="32"/>
    </row>
    <row r="282" customFormat="false" ht="18.15" hidden="false" customHeight="true" outlineLevel="0" collapsed="false">
      <c r="B282" s="30"/>
      <c r="C282" s="31" t="str">
        <f aca="false">HYPERLINK("http://www.emi-penza.ru/p/643.3777-02/", "643.3777-02")</f>
        <v>643.3777-02</v>
      </c>
      <c r="D282" s="32"/>
      <c r="E282" s="32"/>
      <c r="F282" s="32"/>
      <c r="G282" s="32"/>
      <c r="H282" s="32"/>
      <c r="I282" s="33" t="n">
        <v>90</v>
      </c>
      <c r="J282" s="33"/>
      <c r="K282" s="33" t="n">
        <v>24</v>
      </c>
      <c r="L282" s="32" t="n">
        <v>30</v>
      </c>
      <c r="M282" s="32" t="n">
        <v>60</v>
      </c>
      <c r="N282" s="32" t="n">
        <v>120</v>
      </c>
      <c r="O282" s="32"/>
    </row>
    <row r="283" customFormat="false" ht="18.15" hidden="false" customHeight="true" outlineLevel="0" collapsed="false">
      <c r="B283" s="30"/>
      <c r="C283" s="31" t="str">
        <f aca="false">HYPERLINK("http://www.emi-penza.ru/p/320/", "644.3777")</f>
        <v>644.3777</v>
      </c>
      <c r="D283" s="32" t="s">
        <v>178</v>
      </c>
      <c r="E283" s="32"/>
      <c r="F283" s="32"/>
      <c r="G283" s="32"/>
      <c r="H283" s="32"/>
      <c r="I283" s="33" t="n">
        <v>17</v>
      </c>
      <c r="J283" s="33"/>
      <c r="K283" s="33" t="n">
        <v>250</v>
      </c>
      <c r="L283" s="32"/>
      <c r="M283" s="32"/>
      <c r="N283" s="32"/>
      <c r="O283" s="32"/>
    </row>
    <row r="284" customFormat="false" ht="14.15" hidden="false" customHeight="true" outlineLevel="0" collapsed="false">
      <c r="B284" s="34"/>
      <c r="C284" s="35" t="str">
        <f aca="false">HYPERLINK("http://www.emi-penza.ru/p/361/", "644.3777-01")</f>
        <v>644.3777-01</v>
      </c>
      <c r="D284" s="36" t="s">
        <v>179</v>
      </c>
      <c r="E284" s="36"/>
      <c r="F284" s="36"/>
      <c r="G284" s="36"/>
      <c r="H284" s="36"/>
      <c r="I284" s="37" t="n">
        <v>25</v>
      </c>
      <c r="J284" s="37"/>
      <c r="K284" s="37" t="n">
        <v>250</v>
      </c>
      <c r="L284" s="36"/>
      <c r="M284" s="36"/>
      <c r="N284" s="36"/>
      <c r="O284" s="36"/>
    </row>
    <row r="285" customFormat="false" ht="15" hidden="false" customHeight="true" outlineLevel="0" collapsed="false">
      <c r="B285" s="3"/>
      <c r="C285" s="38"/>
      <c r="D285" s="39" t="s">
        <v>180</v>
      </c>
      <c r="E285" s="39"/>
      <c r="F285" s="39"/>
      <c r="G285" s="39"/>
      <c r="H285" s="67"/>
      <c r="I285" s="40"/>
      <c r="J285" s="40"/>
      <c r="K285" s="40"/>
      <c r="L285" s="39"/>
      <c r="M285" s="39"/>
      <c r="N285" s="39"/>
      <c r="O285" s="39"/>
    </row>
    <row r="286" customFormat="false" ht="18.15" hidden="false" customHeight="true" outlineLevel="0" collapsed="false">
      <c r="B286" s="30"/>
      <c r="C286" s="31" t="str">
        <f aca="false">HYPERLINK("http://www.emi-penza.ru/p/354/", "644.3777-02 LED")</f>
        <v>644.3777-02 LED</v>
      </c>
      <c r="D286" s="32" t="s">
        <v>181</v>
      </c>
      <c r="E286" s="32"/>
      <c r="F286" s="32"/>
      <c r="G286" s="32"/>
      <c r="H286" s="32"/>
      <c r="I286" s="33" t="n">
        <v>25</v>
      </c>
      <c r="J286" s="33"/>
      <c r="K286" s="33" t="n">
        <v>250</v>
      </c>
      <c r="L286" s="32"/>
      <c r="M286" s="32"/>
      <c r="N286" s="32"/>
      <c r="O286" s="32"/>
    </row>
    <row r="287" customFormat="false" ht="18.15" hidden="false" customHeight="true" outlineLevel="0" collapsed="false">
      <c r="B287" s="30"/>
      <c r="C287" s="51" t="str">
        <f aca="false">HYPERLINK("http://www.emi-penza.ru/p/644.3777-05", "644.3777-05")</f>
        <v>644.3777-05</v>
      </c>
      <c r="D287" s="52" t="s">
        <v>182</v>
      </c>
      <c r="E287" s="52"/>
      <c r="F287" s="52"/>
      <c r="G287" s="52"/>
      <c r="H287" s="52"/>
      <c r="I287" s="53" t="n">
        <v>35</v>
      </c>
      <c r="J287" s="53"/>
      <c r="K287" s="52"/>
      <c r="L287" s="52" t="n">
        <v>100</v>
      </c>
      <c r="M287" s="52"/>
      <c r="N287" s="52"/>
      <c r="O287" s="52"/>
    </row>
    <row r="288" customFormat="false" ht="14.15" hidden="false" customHeight="true" outlineLevel="0" collapsed="false">
      <c r="B288" s="3"/>
      <c r="C288" s="47"/>
      <c r="D288" s="48"/>
      <c r="E288" s="48"/>
      <c r="F288" s="48"/>
      <c r="G288" s="48"/>
      <c r="H288" s="48"/>
      <c r="I288" s="49"/>
      <c r="J288" s="49"/>
      <c r="K288" s="48"/>
      <c r="L288" s="48"/>
      <c r="M288" s="48"/>
      <c r="N288" s="48"/>
      <c r="O288" s="48"/>
    </row>
    <row r="289" customFormat="false" ht="9.95" hidden="false" customHeight="true" outlineLevel="0" collapsed="false">
      <c r="B289" s="3"/>
    </row>
    <row r="290" customFormat="false" ht="22.7" hidden="false" customHeight="true" outlineLevel="0" collapsed="false">
      <c r="B290" s="3"/>
      <c r="C290" s="28" t="s">
        <v>183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</row>
    <row r="291" customFormat="false" ht="2.85" hidden="false" customHeight="true" outlineLevel="0" collapsed="false">
      <c r="B291" s="3"/>
    </row>
    <row r="292" customFormat="false" ht="17.85" hidden="false" customHeight="true" outlineLevel="0" collapsed="false">
      <c r="B292" s="30"/>
      <c r="C292" s="31" t="str">
        <f aca="false">HYPERLINK("http://www.emi-penza.ru/p/BUK-01/", "БУК-01")</f>
        <v>БУК-01</v>
      </c>
      <c r="D292" s="32"/>
      <c r="E292" s="32"/>
      <c r="F292" s="32"/>
      <c r="G292" s="32"/>
      <c r="H292" s="32"/>
      <c r="I292" s="33" t="n">
        <v>98</v>
      </c>
      <c r="J292" s="33"/>
      <c r="K292" s="33"/>
      <c r="L292" s="32"/>
      <c r="M292" s="32"/>
      <c r="N292" s="32"/>
      <c r="O292" s="32"/>
    </row>
    <row r="293" customFormat="false" ht="14.15" hidden="false" customHeight="true" outlineLevel="0" collapsed="false">
      <c r="B293" s="34"/>
      <c r="C293" s="35" t="str">
        <f aca="false">HYPERLINK("http://www.emi-penza.ru/p/326/", "48.3787")</f>
        <v>48.3787</v>
      </c>
      <c r="D293" s="36" t="s">
        <v>184</v>
      </c>
      <c r="E293" s="36"/>
      <c r="F293" s="36"/>
      <c r="G293" s="36"/>
      <c r="H293" s="36"/>
      <c r="I293" s="37" t="n">
        <v>20</v>
      </c>
      <c r="J293" s="37"/>
      <c r="K293" s="37" t="n">
        <v>250</v>
      </c>
      <c r="L293" s="36"/>
      <c r="M293" s="36"/>
      <c r="N293" s="36"/>
      <c r="O293" s="36"/>
    </row>
    <row r="294" customFormat="false" ht="15" hidden="false" customHeight="true" outlineLevel="0" collapsed="false">
      <c r="B294" s="3"/>
      <c r="C294" s="38"/>
      <c r="D294" s="39"/>
      <c r="E294" s="39"/>
      <c r="F294" s="39"/>
      <c r="G294" s="39"/>
      <c r="H294" s="67" t="s">
        <v>121</v>
      </c>
      <c r="I294" s="40" t="n">
        <v>24</v>
      </c>
      <c r="J294" s="40" t="n">
        <v>100</v>
      </c>
      <c r="K294" s="40"/>
      <c r="L294" s="39"/>
      <c r="M294" s="39"/>
      <c r="N294" s="39"/>
      <c r="O294" s="39"/>
    </row>
    <row r="295" customFormat="false" ht="14.15" hidden="false" customHeight="true" outlineLevel="0" collapsed="false">
      <c r="B295" s="34"/>
      <c r="C295" s="35" t="str">
        <f aca="false">HYPERLINK("http://www.emi-penza.ru/p/359/", "48.3787-01")</f>
        <v>48.3787-01</v>
      </c>
      <c r="D295" s="1" t="s">
        <v>185</v>
      </c>
      <c r="E295" s="36"/>
      <c r="F295" s="36"/>
      <c r="G295" s="36"/>
      <c r="H295" s="36"/>
      <c r="I295" s="37" t="n">
        <v>25</v>
      </c>
      <c r="J295" s="37" t="n">
        <v>100</v>
      </c>
      <c r="K295" s="37"/>
      <c r="L295" s="36"/>
      <c r="M295" s="36"/>
      <c r="N295" s="36"/>
      <c r="O295" s="36"/>
    </row>
    <row r="296" customFormat="false" ht="15" hidden="false" customHeight="true" outlineLevel="0" collapsed="false">
      <c r="B296" s="3"/>
      <c r="C296" s="38"/>
      <c r="D296" s="39" t="s">
        <v>186</v>
      </c>
      <c r="E296" s="39"/>
      <c r="F296" s="39"/>
      <c r="G296" s="39"/>
      <c r="H296" s="67"/>
      <c r="I296" s="40"/>
      <c r="J296" s="40"/>
      <c r="K296" s="40"/>
      <c r="L296" s="39"/>
      <c r="M296" s="39"/>
      <c r="N296" s="39"/>
      <c r="O296" s="39"/>
    </row>
    <row r="297" customFormat="false" ht="15" hidden="false" customHeight="true" outlineLevel="0" collapsed="false">
      <c r="B297" s="3"/>
      <c r="C297" s="31" t="str">
        <f aca="false">HYPERLINK("http://www.emi-penza.ru/p/48.3787-03", "48.3787-03")</f>
        <v>48.3787-03</v>
      </c>
      <c r="D297" s="32" t="s">
        <v>184</v>
      </c>
      <c r="E297" s="39"/>
      <c r="F297" s="39"/>
      <c r="G297" s="39"/>
      <c r="H297" s="67"/>
      <c r="I297" s="40" t="n">
        <v>40</v>
      </c>
      <c r="J297" s="40" t="n">
        <v>100</v>
      </c>
      <c r="K297" s="40"/>
      <c r="L297" s="39"/>
      <c r="M297" s="39"/>
      <c r="N297" s="39"/>
      <c r="O297" s="39"/>
    </row>
    <row r="298" customFormat="false" ht="18.15" hidden="false" customHeight="true" outlineLevel="0" collapsed="false">
      <c r="B298" s="30"/>
      <c r="C298" s="31" t="str">
        <f aca="false">HYPERLINK("http://www.emi-penza.ru/p/337/", "48.3787-04")</f>
        <v>48.3787-04</v>
      </c>
      <c r="D298" s="32" t="s">
        <v>187</v>
      </c>
      <c r="E298" s="32"/>
      <c r="F298" s="32"/>
      <c r="G298" s="32"/>
      <c r="H298" s="32"/>
      <c r="I298" s="33" t="n">
        <v>35</v>
      </c>
      <c r="J298" s="33"/>
      <c r="K298" s="33" t="n">
        <v>250</v>
      </c>
      <c r="L298" s="32"/>
      <c r="M298" s="32"/>
      <c r="N298" s="32"/>
      <c r="O298" s="32"/>
    </row>
    <row r="299" customFormat="false" ht="18.15" hidden="false" customHeight="true" outlineLevel="0" collapsed="false">
      <c r="B299" s="30"/>
      <c r="C299" s="31" t="str">
        <f aca="false">HYPERLINK("http://www.emi-penza.ru/p/412/", "48.3787-05")</f>
        <v>48.3787-05</v>
      </c>
      <c r="D299" s="32" t="s">
        <v>188</v>
      </c>
      <c r="E299" s="32"/>
      <c r="F299" s="32"/>
      <c r="G299" s="32"/>
      <c r="H299" s="32"/>
      <c r="I299" s="33" t="n">
        <v>60</v>
      </c>
      <c r="J299" s="33"/>
      <c r="K299" s="33"/>
      <c r="L299" s="32" t="n">
        <v>200</v>
      </c>
      <c r="M299" s="32"/>
      <c r="N299" s="32"/>
      <c r="O299" s="32"/>
    </row>
    <row r="300" customFormat="false" ht="14.15" hidden="false" customHeight="true" outlineLevel="0" collapsed="false">
      <c r="B300" s="34"/>
      <c r="C300" s="35" t="str">
        <f aca="false">HYPERLINK("http://www.emi-penza.ru/p/414/", "48.3787-07")</f>
        <v>48.3787-07</v>
      </c>
      <c r="D300" s="1" t="s">
        <v>189</v>
      </c>
      <c r="E300" s="36"/>
      <c r="F300" s="36"/>
      <c r="G300" s="36"/>
      <c r="H300" s="36"/>
      <c r="I300" s="37" t="n">
        <v>25</v>
      </c>
      <c r="J300" s="37"/>
      <c r="K300" s="37"/>
      <c r="L300" s="36" t="n">
        <v>200</v>
      </c>
      <c r="M300" s="36"/>
      <c r="N300" s="36"/>
      <c r="O300" s="36"/>
    </row>
    <row r="301" customFormat="false" ht="15" hidden="false" customHeight="true" outlineLevel="0" collapsed="false">
      <c r="B301" s="3"/>
      <c r="C301" s="38"/>
      <c r="D301" s="39" t="s">
        <v>190</v>
      </c>
      <c r="E301" s="39"/>
      <c r="F301" s="39"/>
      <c r="G301" s="39"/>
      <c r="H301" s="67"/>
      <c r="I301" s="40"/>
      <c r="J301" s="40"/>
      <c r="K301" s="40"/>
      <c r="L301" s="39"/>
      <c r="M301" s="39"/>
      <c r="N301" s="39"/>
      <c r="O301" s="39"/>
    </row>
    <row r="302" customFormat="false" ht="18.15" hidden="false" customHeight="true" outlineLevel="0" collapsed="false">
      <c r="B302" s="30"/>
      <c r="C302" s="31" t="str">
        <f aca="false">HYPERLINK("http://www.emi-penza.ru/p/309/", "58.3777")</f>
        <v>58.3777</v>
      </c>
      <c r="D302" s="32" t="s">
        <v>191</v>
      </c>
      <c r="E302" s="32"/>
      <c r="F302" s="32"/>
      <c r="G302" s="32"/>
      <c r="H302" s="32"/>
      <c r="I302" s="33" t="n">
        <v>90</v>
      </c>
      <c r="J302" s="33"/>
      <c r="K302" s="33" t="n">
        <v>24</v>
      </c>
      <c r="L302" s="32" t="n">
        <v>30</v>
      </c>
      <c r="M302" s="32" t="n">
        <v>60</v>
      </c>
      <c r="N302" s="32" t="n">
        <v>120</v>
      </c>
      <c r="O302" s="32"/>
    </row>
    <row r="303" customFormat="false" ht="18.15" hidden="false" customHeight="true" outlineLevel="0" collapsed="false">
      <c r="B303" s="30"/>
      <c r="C303" s="31" t="str">
        <f aca="false">HYPERLINK("http://www.emi-penza.ru/p/310/", "58.3777-01")</f>
        <v>58.3777-01</v>
      </c>
      <c r="D303" s="32" t="s">
        <v>192</v>
      </c>
      <c r="E303" s="32"/>
      <c r="F303" s="32"/>
      <c r="G303" s="32"/>
      <c r="H303" s="32"/>
      <c r="I303" s="33" t="n">
        <v>90</v>
      </c>
      <c r="J303" s="33"/>
      <c r="K303" s="33" t="n">
        <v>24</v>
      </c>
      <c r="L303" s="32" t="n">
        <v>30</v>
      </c>
      <c r="M303" s="32" t="n">
        <v>60</v>
      </c>
      <c r="N303" s="32" t="n">
        <v>120</v>
      </c>
      <c r="O303" s="32"/>
    </row>
    <row r="304" customFormat="false" ht="18.15" hidden="false" customHeight="true" outlineLevel="0" collapsed="false">
      <c r="B304" s="30"/>
      <c r="C304" s="31" t="str">
        <f aca="false">HYPERLINK("http://www.emi-penza.ru/p/318/", "58.3777-02")</f>
        <v>58.3777-02</v>
      </c>
      <c r="D304" s="32" t="s">
        <v>193</v>
      </c>
      <c r="E304" s="32"/>
      <c r="F304" s="32"/>
      <c r="G304" s="32"/>
      <c r="H304" s="32"/>
      <c r="I304" s="33" t="n">
        <v>45</v>
      </c>
      <c r="J304" s="33"/>
      <c r="K304" s="33" t="n">
        <v>60</v>
      </c>
      <c r="L304" s="32"/>
      <c r="M304" s="32"/>
      <c r="N304" s="32"/>
      <c r="O304" s="32"/>
    </row>
    <row r="305" customFormat="false" ht="18.15" hidden="false" customHeight="true" outlineLevel="0" collapsed="false">
      <c r="B305" s="30"/>
      <c r="C305" s="31" t="str">
        <f aca="false">HYPERLINK("http://www.emi-penza.ru/p/339/", "58.3777-03")</f>
        <v>58.3777-03</v>
      </c>
      <c r="D305" s="32" t="s">
        <v>194</v>
      </c>
      <c r="E305" s="32"/>
      <c r="F305" s="32"/>
      <c r="G305" s="32"/>
      <c r="H305" s="32"/>
      <c r="I305" s="33" t="n">
        <v>45</v>
      </c>
      <c r="J305" s="33"/>
      <c r="K305" s="33" t="n">
        <v>60</v>
      </c>
      <c r="L305" s="32"/>
      <c r="M305" s="32"/>
      <c r="N305" s="32"/>
      <c r="O305" s="32"/>
    </row>
    <row r="306" customFormat="false" ht="18.15" hidden="false" customHeight="true" outlineLevel="0" collapsed="false">
      <c r="B306" s="30"/>
      <c r="C306" s="31" t="str">
        <f aca="false">HYPERLINK("http://www.emi-penza.ru/p/360/", "58.3777-04")</f>
        <v>58.3777-04</v>
      </c>
      <c r="D306" s="32" t="s">
        <v>195</v>
      </c>
      <c r="E306" s="32"/>
      <c r="F306" s="32"/>
      <c r="G306" s="32"/>
      <c r="H306" s="32"/>
      <c r="I306" s="33" t="n">
        <v>38</v>
      </c>
      <c r="J306" s="33"/>
      <c r="K306" s="33"/>
      <c r="L306" s="32" t="n">
        <v>100</v>
      </c>
      <c r="M306" s="32"/>
      <c r="N306" s="32"/>
      <c r="O306" s="32"/>
    </row>
    <row r="307" customFormat="false" ht="18.15" hidden="false" customHeight="true" outlineLevel="0" collapsed="false">
      <c r="B307" s="30"/>
      <c r="C307" s="31" t="str">
        <f aca="false">HYPERLINK("http://www.emi-penza.ru/p/58.3777-05/", "58.3777-05")</f>
        <v>58.3777-05</v>
      </c>
      <c r="D307" s="32" t="s">
        <v>196</v>
      </c>
      <c r="E307" s="32"/>
      <c r="F307" s="32"/>
      <c r="G307" s="32"/>
      <c r="H307" s="32"/>
      <c r="I307" s="33" t="n">
        <v>38</v>
      </c>
      <c r="J307" s="33"/>
      <c r="K307" s="33"/>
      <c r="L307" s="32" t="n">
        <v>100</v>
      </c>
      <c r="M307" s="32"/>
      <c r="N307" s="32"/>
      <c r="O307" s="32"/>
    </row>
    <row r="308" customFormat="false" ht="18.15" hidden="false" customHeight="true" outlineLevel="0" collapsed="false">
      <c r="B308" s="30"/>
      <c r="C308" s="31" t="str">
        <f aca="false">HYPERLINK("http://www.emi-penza.ru/p/58.3777-06", "58.3777-06")</f>
        <v>58.3777-06</v>
      </c>
      <c r="D308" s="32" t="s">
        <v>197</v>
      </c>
      <c r="E308" s="32"/>
      <c r="F308" s="32"/>
      <c r="G308" s="32"/>
      <c r="H308" s="32"/>
      <c r="I308" s="33" t="n">
        <v>45</v>
      </c>
      <c r="J308" s="33"/>
      <c r="K308" s="33"/>
      <c r="L308" s="32" t="n">
        <v>100</v>
      </c>
      <c r="M308" s="32"/>
      <c r="N308" s="32"/>
      <c r="O308" s="32"/>
    </row>
    <row r="309" customFormat="false" ht="18.15" hidden="false" customHeight="true" outlineLevel="0" collapsed="false">
      <c r="B309" s="30"/>
      <c r="C309" s="31" t="str">
        <f aca="false">HYPERLINK("http://www.emi-penza.ru/p/328/", "58.3787")</f>
        <v>58.3787</v>
      </c>
      <c r="D309" s="32" t="s">
        <v>198</v>
      </c>
      <c r="E309" s="32"/>
      <c r="F309" s="32"/>
      <c r="G309" s="32"/>
      <c r="H309" s="32"/>
      <c r="I309" s="33" t="n">
        <v>60</v>
      </c>
      <c r="J309" s="33"/>
      <c r="K309" s="33" t="n">
        <v>50</v>
      </c>
      <c r="L309" s="32"/>
      <c r="M309" s="32"/>
      <c r="N309" s="32"/>
      <c r="O309" s="32"/>
    </row>
    <row r="310" customFormat="false" ht="18.15" hidden="false" customHeight="true" outlineLevel="0" collapsed="false">
      <c r="B310" s="30"/>
      <c r="C310" s="31" t="str">
        <f aca="false">HYPERLINK("http://www.emi-penza.ru/p/329/", "58.3787-01")</f>
        <v>58.3787-01</v>
      </c>
      <c r="D310" s="32" t="s">
        <v>199</v>
      </c>
      <c r="E310" s="32"/>
      <c r="F310" s="32"/>
      <c r="G310" s="32"/>
      <c r="H310" s="32"/>
      <c r="I310" s="33" t="n">
        <v>60</v>
      </c>
      <c r="J310" s="33"/>
      <c r="K310" s="33" t="n">
        <v>50</v>
      </c>
      <c r="L310" s="32"/>
      <c r="M310" s="32"/>
      <c r="N310" s="32"/>
      <c r="O310" s="32"/>
    </row>
    <row r="311" customFormat="false" ht="18.15" hidden="false" customHeight="true" outlineLevel="0" collapsed="false">
      <c r="B311" s="30"/>
      <c r="C311" s="31" t="str">
        <f aca="false">HYPERLINK("http://www.emi-penza.ru/p/338/", "58.3787-02")</f>
        <v>58.3787-02</v>
      </c>
      <c r="D311" s="32" t="s">
        <v>200</v>
      </c>
      <c r="E311" s="32"/>
      <c r="F311" s="32"/>
      <c r="G311" s="32"/>
      <c r="H311" s="32"/>
      <c r="I311" s="33" t="n">
        <v>45</v>
      </c>
      <c r="J311" s="33"/>
      <c r="K311" s="33"/>
      <c r="L311" s="32" t="n">
        <v>100</v>
      </c>
      <c r="M311" s="32"/>
      <c r="N311" s="32"/>
      <c r="O311" s="32"/>
    </row>
    <row r="312" customFormat="false" ht="18.15" hidden="false" customHeight="true" outlineLevel="0" collapsed="false">
      <c r="B312" s="30"/>
      <c r="C312" s="31" t="str">
        <f aca="false">HYPERLINK("http://www.emi-penza.ru/p/330/", "60.3787")</f>
        <v>60.3787</v>
      </c>
      <c r="D312" s="32"/>
      <c r="E312" s="32"/>
      <c r="F312" s="32"/>
      <c r="G312" s="32"/>
      <c r="H312" s="32"/>
      <c r="I312" s="33" t="n">
        <v>60</v>
      </c>
      <c r="J312" s="33"/>
      <c r="K312" s="33" t="n">
        <v>60</v>
      </c>
      <c r="L312" s="32"/>
      <c r="M312" s="32"/>
      <c r="N312" s="32"/>
      <c r="O312" s="32"/>
    </row>
    <row r="313" customFormat="false" ht="18.15" hidden="false" customHeight="true" outlineLevel="0" collapsed="false">
      <c r="B313" s="30"/>
      <c r="C313" s="31" t="str">
        <f aca="false">HYPERLINK("http://www.emi-penza.ru/p/344/", "69.3787")</f>
        <v>69.3787</v>
      </c>
      <c r="D313" s="32" t="s">
        <v>201</v>
      </c>
      <c r="E313" s="32"/>
      <c r="F313" s="32"/>
      <c r="G313" s="32"/>
      <c r="H313" s="32"/>
      <c r="I313" s="33" t="n">
        <v>22</v>
      </c>
      <c r="J313" s="33"/>
      <c r="K313" s="33" t="n">
        <v>250</v>
      </c>
      <c r="L313" s="32"/>
      <c r="M313" s="32"/>
      <c r="N313" s="32"/>
      <c r="O313" s="32"/>
    </row>
    <row r="314" customFormat="false" ht="18.15" hidden="false" customHeight="true" outlineLevel="0" collapsed="false">
      <c r="B314" s="30"/>
      <c r="C314" s="31" t="str">
        <f aca="false">HYPERLINK("http://www.emi-penza.ru/p/347/", "71.3787")</f>
        <v>71.3787</v>
      </c>
      <c r="D314" s="32" t="s">
        <v>202</v>
      </c>
      <c r="E314" s="32"/>
      <c r="F314" s="32"/>
      <c r="G314" s="32"/>
      <c r="H314" s="32"/>
      <c r="I314" s="33" t="n">
        <v>30</v>
      </c>
      <c r="J314" s="33"/>
      <c r="K314" s="33" t="n">
        <v>250</v>
      </c>
      <c r="L314" s="32"/>
      <c r="M314" s="32"/>
      <c r="N314" s="32"/>
      <c r="O314" s="32"/>
    </row>
    <row r="315" customFormat="false" ht="18.15" hidden="false" customHeight="true" outlineLevel="0" collapsed="false">
      <c r="B315" s="30"/>
      <c r="C315" s="31" t="str">
        <f aca="false">HYPERLINK("http://www.emi-penza.ru/p/415/", "71.3787-01")</f>
        <v>71.3787-01</v>
      </c>
      <c r="D315" s="32" t="s">
        <v>203</v>
      </c>
      <c r="E315" s="32"/>
      <c r="F315" s="32"/>
      <c r="G315" s="32"/>
      <c r="H315" s="32"/>
      <c r="I315" s="33" t="n">
        <v>30</v>
      </c>
      <c r="J315" s="33"/>
      <c r="K315" s="33" t="n">
        <v>250</v>
      </c>
      <c r="L315" s="32"/>
      <c r="M315" s="32"/>
      <c r="N315" s="32"/>
      <c r="O315" s="32"/>
    </row>
    <row r="316" customFormat="false" ht="18.15" hidden="false" customHeight="true" outlineLevel="0" collapsed="false">
      <c r="B316" s="30"/>
      <c r="C316" s="31" t="str">
        <f aca="false">HYPERLINK("https://www.emi-penza.ru/p/71.3787-02", "71.3787-02")</f>
        <v>71.3787-02</v>
      </c>
      <c r="D316" s="32" t="s">
        <v>204</v>
      </c>
      <c r="E316" s="32"/>
      <c r="F316" s="32"/>
      <c r="G316" s="32"/>
      <c r="H316" s="32"/>
      <c r="I316" s="33" t="n">
        <v>30</v>
      </c>
      <c r="J316" s="33"/>
      <c r="K316" s="33" t="n">
        <v>200</v>
      </c>
      <c r="L316" s="32"/>
      <c r="M316" s="32"/>
      <c r="N316" s="32"/>
      <c r="O316" s="32"/>
    </row>
    <row r="317" customFormat="false" ht="18.15" hidden="false" customHeight="true" outlineLevel="0" collapsed="false">
      <c r="B317" s="30"/>
      <c r="C317" s="31" t="str">
        <f aca="false">HYPERLINK("https://www.emi-penza.ru/p/71.3787-03", "71.3787-03")</f>
        <v>71.3787-03</v>
      </c>
      <c r="D317" s="32"/>
      <c r="E317" s="32"/>
      <c r="F317" s="32"/>
      <c r="G317" s="32"/>
      <c r="H317" s="32"/>
      <c r="I317" s="33" t="n">
        <v>40</v>
      </c>
      <c r="J317" s="33"/>
      <c r="K317" s="33"/>
      <c r="L317" s="32" t="n">
        <v>100</v>
      </c>
      <c r="M317" s="32"/>
      <c r="N317" s="32"/>
      <c r="O317" s="32"/>
    </row>
    <row r="318" customFormat="false" ht="18.15" hidden="false" customHeight="true" outlineLevel="0" collapsed="false">
      <c r="B318" s="30"/>
      <c r="C318" s="31" t="str">
        <f aca="false">HYPERLINK("https://www.emi-penza.ru/p/71.3787-04", "71.3787-04")</f>
        <v>71.3787-04</v>
      </c>
      <c r="D318" s="32"/>
      <c r="E318" s="32"/>
      <c r="F318" s="32"/>
      <c r="G318" s="32"/>
      <c r="H318" s="32"/>
      <c r="I318" s="33" t="n">
        <v>40</v>
      </c>
      <c r="J318" s="33"/>
      <c r="K318" s="33"/>
      <c r="L318" s="32" t="n">
        <v>100</v>
      </c>
      <c r="M318" s="32"/>
      <c r="N318" s="32"/>
      <c r="O318" s="32"/>
    </row>
    <row r="319" customFormat="false" ht="18.15" hidden="false" customHeight="true" outlineLevel="0" collapsed="false">
      <c r="B319" s="30"/>
      <c r="C319" s="31" t="str">
        <f aca="false">HYPERLINK("http://www.emi-penza.ru/p/351/", "72.3787")</f>
        <v>72.3787</v>
      </c>
      <c r="D319" s="32" t="s">
        <v>205</v>
      </c>
      <c r="E319" s="32"/>
      <c r="F319" s="32"/>
      <c r="G319" s="32"/>
      <c r="H319" s="32"/>
      <c r="I319" s="33" t="n">
        <v>60</v>
      </c>
      <c r="J319" s="33"/>
      <c r="K319" s="33" t="n">
        <v>60</v>
      </c>
      <c r="L319" s="32"/>
      <c r="M319" s="32"/>
      <c r="N319" s="32"/>
      <c r="O319" s="32"/>
    </row>
    <row r="320" customFormat="false" ht="18.15" hidden="false" customHeight="true" outlineLevel="0" collapsed="false">
      <c r="B320" s="30"/>
      <c r="C320" s="31" t="str">
        <f aca="false">HYPERLINK("http://www.emi-penza.ru/p/312/", "74.3777")</f>
        <v>74.3777</v>
      </c>
      <c r="D320" s="32" t="s">
        <v>206</v>
      </c>
      <c r="E320" s="32"/>
      <c r="F320" s="32"/>
      <c r="G320" s="32"/>
      <c r="H320" s="32"/>
      <c r="I320" s="33" t="n">
        <v>46</v>
      </c>
      <c r="J320" s="33"/>
      <c r="K320" s="33" t="n">
        <v>60</v>
      </c>
      <c r="L320" s="32"/>
      <c r="M320" s="32"/>
      <c r="N320" s="32"/>
      <c r="O320" s="32"/>
    </row>
    <row r="321" customFormat="false" ht="18.15" hidden="false" customHeight="true" outlineLevel="0" collapsed="false">
      <c r="B321" s="30"/>
      <c r="C321" s="31" t="str">
        <f aca="false">HYPERLINK("http://www.emi-penza.ru/p/315/", "77.3777")</f>
        <v>77.3777</v>
      </c>
      <c r="D321" s="32" t="s">
        <v>207</v>
      </c>
      <c r="E321" s="32"/>
      <c r="F321" s="32"/>
      <c r="G321" s="32"/>
      <c r="H321" s="32"/>
      <c r="I321" s="33" t="n">
        <v>73</v>
      </c>
      <c r="J321" s="33"/>
      <c r="K321" s="33" t="n">
        <v>60</v>
      </c>
      <c r="L321" s="32"/>
      <c r="M321" s="32"/>
      <c r="N321" s="32"/>
      <c r="O321" s="32"/>
    </row>
    <row r="322" customFormat="false" ht="14.15" hidden="false" customHeight="true" outlineLevel="0" collapsed="false">
      <c r="B322" s="34"/>
      <c r="C322" s="35" t="str">
        <f aca="false">HYPERLINK("http://www.emi-penza.ru/p/317/", "97.3777")</f>
        <v>97.3777</v>
      </c>
      <c r="D322" s="36" t="s">
        <v>208</v>
      </c>
      <c r="E322" s="36"/>
      <c r="F322" s="36"/>
      <c r="G322" s="36"/>
      <c r="H322" s="36"/>
      <c r="I322" s="37" t="n">
        <v>27</v>
      </c>
      <c r="J322" s="37"/>
      <c r="K322" s="37" t="n">
        <v>100</v>
      </c>
      <c r="L322" s="36"/>
      <c r="M322" s="36"/>
      <c r="N322" s="36"/>
      <c r="O322" s="36"/>
    </row>
    <row r="323" customFormat="false" ht="15" hidden="false" customHeight="true" outlineLevel="0" collapsed="false">
      <c r="B323" s="3"/>
      <c r="C323" s="38"/>
      <c r="D323" s="39"/>
      <c r="E323" s="39"/>
      <c r="F323" s="39"/>
      <c r="G323" s="39"/>
      <c r="H323" s="67" t="s">
        <v>40</v>
      </c>
      <c r="I323" s="40" t="n">
        <v>32</v>
      </c>
      <c r="J323" s="40"/>
      <c r="K323" s="40" t="n">
        <v>50</v>
      </c>
      <c r="L323" s="39"/>
      <c r="M323" s="39"/>
      <c r="N323" s="39"/>
      <c r="O323" s="39"/>
    </row>
    <row r="324" customFormat="false" ht="18.15" hidden="false" customHeight="true" outlineLevel="0" collapsed="false">
      <c r="B324" s="30"/>
      <c r="C324" s="31" t="str">
        <f aca="false">HYPERLINK("http://www.emi-penza.ru/p/355/", "97.3777-02 LED")</f>
        <v>97.3777-02 LED</v>
      </c>
      <c r="D324" s="32"/>
      <c r="E324" s="32"/>
      <c r="F324" s="32"/>
      <c r="G324" s="32"/>
      <c r="H324" s="32"/>
      <c r="I324" s="33" t="n">
        <v>27</v>
      </c>
      <c r="J324" s="33"/>
      <c r="K324" s="33" t="n">
        <v>100</v>
      </c>
      <c r="L324" s="32"/>
      <c r="M324" s="32"/>
      <c r="N324" s="32"/>
      <c r="O324" s="32"/>
    </row>
    <row r="325" customFormat="false" ht="18.15" hidden="false" customHeight="true" outlineLevel="0" collapsed="false">
      <c r="B325" s="30"/>
      <c r="C325" s="31" t="str">
        <f aca="false">HYPERLINK("http://www.emi-penza.ru/p/97.3777-04", "97.3777-04")</f>
        <v>97.3777-04</v>
      </c>
      <c r="D325" s="32" t="s">
        <v>209</v>
      </c>
      <c r="E325" s="32"/>
      <c r="F325" s="32"/>
      <c r="G325" s="32"/>
      <c r="H325" s="32"/>
      <c r="I325" s="33" t="n">
        <v>40</v>
      </c>
      <c r="J325" s="33"/>
      <c r="K325" s="33" t="n">
        <v>100</v>
      </c>
      <c r="L325" s="32"/>
      <c r="M325" s="32"/>
      <c r="N325" s="32"/>
      <c r="O325" s="32"/>
    </row>
    <row r="326" customFormat="false" ht="18.15" hidden="false" customHeight="true" outlineLevel="0" collapsed="false">
      <c r="B326" s="30"/>
      <c r="C326" s="31" t="str">
        <f aca="false">HYPERLINK("http://www.emi-penza.ru/p/97.3777-05", "97.3777-05")</f>
        <v>97.3777-05</v>
      </c>
      <c r="D326" s="32"/>
      <c r="E326" s="32"/>
      <c r="F326" s="32"/>
      <c r="G326" s="32"/>
      <c r="H326" s="32"/>
      <c r="I326" s="33" t="n">
        <v>40</v>
      </c>
      <c r="J326" s="33"/>
      <c r="K326" s="33"/>
      <c r="L326" s="32"/>
      <c r="M326" s="32"/>
      <c r="N326" s="32"/>
      <c r="O326" s="32"/>
    </row>
    <row r="327" customFormat="false" ht="18.15" hidden="false" customHeight="true" outlineLevel="0" collapsed="false">
      <c r="B327" s="30"/>
      <c r="C327" s="31" t="str">
        <f aca="false">HYPERLINK("http://www.emi-penza.ru/p/416/", "473.3787")</f>
        <v>473.3787</v>
      </c>
      <c r="D327" s="32" t="s">
        <v>210</v>
      </c>
      <c r="E327" s="32"/>
      <c r="F327" s="32"/>
      <c r="G327" s="32"/>
      <c r="H327" s="32"/>
      <c r="I327" s="33" t="n">
        <v>30</v>
      </c>
      <c r="J327" s="33"/>
      <c r="K327" s="33"/>
      <c r="L327" s="32" t="n">
        <v>200</v>
      </c>
      <c r="M327" s="32"/>
      <c r="N327" s="32"/>
      <c r="O327" s="32"/>
    </row>
    <row r="328" customFormat="false" ht="18.15" hidden="false" customHeight="true" outlineLevel="0" collapsed="false">
      <c r="B328" s="30"/>
      <c r="C328" s="31" t="str">
        <f aca="false">HYPERLINK("http://www.emi-penza.ru/p/413/", "473.3787-10")</f>
        <v>473.3787-10</v>
      </c>
      <c r="D328" s="32" t="s">
        <v>211</v>
      </c>
      <c r="E328" s="32"/>
      <c r="F328" s="32"/>
      <c r="G328" s="32"/>
      <c r="H328" s="32"/>
      <c r="I328" s="33" t="n">
        <v>30</v>
      </c>
      <c r="J328" s="33"/>
      <c r="K328" s="33"/>
      <c r="L328" s="32" t="n">
        <v>200</v>
      </c>
      <c r="M328" s="32"/>
      <c r="N328" s="32"/>
      <c r="O328" s="32"/>
    </row>
    <row r="329" customFormat="false" ht="18.15" hidden="false" customHeight="true" outlineLevel="0" collapsed="false">
      <c r="B329" s="30"/>
      <c r="C329" s="31" t="str">
        <f aca="false">HYPERLINK("http://www.emi-penza.ru/p/311/", "581.3777")</f>
        <v>581.3777</v>
      </c>
      <c r="D329" s="32" t="s">
        <v>212</v>
      </c>
      <c r="E329" s="32"/>
      <c r="F329" s="32"/>
      <c r="G329" s="32"/>
      <c r="H329" s="32"/>
      <c r="I329" s="33" t="n">
        <v>57</v>
      </c>
      <c r="J329" s="33"/>
      <c r="K329" s="33" t="n">
        <v>40</v>
      </c>
      <c r="L329" s="32" t="n">
        <v>50</v>
      </c>
      <c r="M329" s="32" t="n">
        <v>100</v>
      </c>
      <c r="N329" s="32"/>
      <c r="O329" s="32"/>
    </row>
    <row r="330" customFormat="false" ht="18.15" hidden="false" customHeight="true" outlineLevel="0" collapsed="false">
      <c r="B330" s="30"/>
      <c r="C330" s="31" t="str">
        <f aca="false">HYPERLINK("http://www.emi-penza.ru/p/581.3777-01", "581.3777-01")</f>
        <v>581.3777-01</v>
      </c>
      <c r="D330" s="32" t="s">
        <v>213</v>
      </c>
      <c r="E330" s="32"/>
      <c r="F330" s="32"/>
      <c r="G330" s="32"/>
      <c r="H330" s="32"/>
      <c r="I330" s="33" t="n">
        <v>60</v>
      </c>
      <c r="J330" s="33"/>
      <c r="K330" s="33" t="n">
        <v>60</v>
      </c>
      <c r="L330" s="32"/>
      <c r="M330" s="32"/>
      <c r="N330" s="32"/>
      <c r="O330" s="32"/>
    </row>
    <row r="331" customFormat="false" ht="18.15" hidden="false" customHeight="true" outlineLevel="0" collapsed="false">
      <c r="B331" s="30"/>
      <c r="C331" s="31" t="str">
        <f aca="false">HYPERLINK("http://www.emi-penza.ru/p/313/", "582.3777")</f>
        <v>582.3777</v>
      </c>
      <c r="D331" s="32" t="s">
        <v>214</v>
      </c>
      <c r="E331" s="32"/>
      <c r="F331" s="32"/>
      <c r="G331" s="32"/>
      <c r="H331" s="32"/>
      <c r="I331" s="33" t="n">
        <v>65</v>
      </c>
      <c r="J331" s="33"/>
      <c r="K331" s="33" t="n">
        <v>28</v>
      </c>
      <c r="L331" s="32"/>
      <c r="M331" s="32" t="n">
        <v>100</v>
      </c>
      <c r="N331" s="32" t="n">
        <v>200</v>
      </c>
      <c r="O331" s="32"/>
    </row>
    <row r="332" customFormat="false" ht="18.15" hidden="false" customHeight="true" outlineLevel="0" collapsed="false">
      <c r="B332" s="30"/>
      <c r="C332" s="31" t="str">
        <f aca="false">HYPERLINK("http://www.emi-penza.ru/p/314/", "583.3777")</f>
        <v>583.3777</v>
      </c>
      <c r="D332" s="32" t="s">
        <v>215</v>
      </c>
      <c r="E332" s="32"/>
      <c r="F332" s="32"/>
      <c r="G332" s="32"/>
      <c r="H332" s="32"/>
      <c r="I332" s="33" t="n">
        <v>64</v>
      </c>
      <c r="J332" s="33"/>
      <c r="K332" s="33" t="n">
        <v>28</v>
      </c>
      <c r="L332" s="32"/>
      <c r="M332" s="32" t="n">
        <v>100</v>
      </c>
      <c r="N332" s="32" t="n">
        <v>200</v>
      </c>
      <c r="O332" s="32"/>
    </row>
    <row r="333" customFormat="false" ht="18.15" hidden="false" customHeight="true" outlineLevel="0" collapsed="false">
      <c r="B333" s="30"/>
      <c r="C333" s="31" t="str">
        <f aca="false">HYPERLINK("http://www.emi-penza.ru/p/316/", "8602.3777")</f>
        <v>8602.3777</v>
      </c>
      <c r="D333" s="32" t="s">
        <v>216</v>
      </c>
      <c r="E333" s="32"/>
      <c r="F333" s="32"/>
      <c r="G333" s="32"/>
      <c r="H333" s="32"/>
      <c r="I333" s="33" t="n">
        <v>49</v>
      </c>
      <c r="J333" s="33"/>
      <c r="K333" s="33" t="n">
        <v>40</v>
      </c>
      <c r="L333" s="32" t="n">
        <v>50</v>
      </c>
      <c r="M333" s="32" t="n">
        <v>100</v>
      </c>
      <c r="N333" s="32"/>
      <c r="O333" s="32"/>
    </row>
    <row r="334" customFormat="false" ht="18.15" hidden="false" customHeight="true" outlineLevel="0" collapsed="false">
      <c r="B334" s="30"/>
      <c r="C334" s="31" t="str">
        <f aca="false">HYPERLINK("http://www.emi-penza.ru/p/325/", "8602.3777-01")</f>
        <v>8602.3777-01</v>
      </c>
      <c r="D334" s="32" t="s">
        <v>217</v>
      </c>
      <c r="E334" s="32"/>
      <c r="F334" s="32"/>
      <c r="G334" s="32"/>
      <c r="H334" s="32"/>
      <c r="I334" s="33" t="n">
        <v>49</v>
      </c>
      <c r="J334" s="33"/>
      <c r="K334" s="33" t="n">
        <v>60</v>
      </c>
      <c r="L334" s="32"/>
      <c r="M334" s="32"/>
      <c r="N334" s="32"/>
      <c r="O334" s="32"/>
    </row>
    <row r="335" customFormat="false" ht="18.15" hidden="false" customHeight="true" outlineLevel="0" collapsed="false">
      <c r="B335" s="30"/>
      <c r="C335" s="31" t="str">
        <f aca="false">HYPERLINK("http://www.emi-penza.ru/p/335/", "8612.3777")</f>
        <v>8612.3777</v>
      </c>
      <c r="D335" s="32" t="s">
        <v>218</v>
      </c>
      <c r="E335" s="32"/>
      <c r="F335" s="32"/>
      <c r="G335" s="32"/>
      <c r="H335" s="32"/>
      <c r="I335" s="33" t="n">
        <v>49</v>
      </c>
      <c r="J335" s="33"/>
      <c r="K335" s="33" t="n">
        <v>40</v>
      </c>
      <c r="L335" s="32" t="n">
        <v>50</v>
      </c>
      <c r="M335" s="32" t="n">
        <v>100</v>
      </c>
      <c r="N335" s="32"/>
      <c r="O335" s="32"/>
    </row>
    <row r="336" customFormat="false" ht="18.15" hidden="false" customHeight="true" outlineLevel="0" collapsed="false">
      <c r="B336" s="30"/>
      <c r="C336" s="31" t="str">
        <f aca="false">HYPERLINK("http://www.emi-penza.ru/p/345/", "8612.3777-01")</f>
        <v>8612.3777-01</v>
      </c>
      <c r="D336" s="32" t="s">
        <v>219</v>
      </c>
      <c r="E336" s="32"/>
      <c r="F336" s="32"/>
      <c r="G336" s="32"/>
      <c r="H336" s="32"/>
      <c r="I336" s="33" t="n">
        <v>45</v>
      </c>
      <c r="J336" s="33"/>
      <c r="K336" s="33" t="n">
        <v>60</v>
      </c>
      <c r="L336" s="32"/>
      <c r="M336" s="32"/>
      <c r="N336" s="32"/>
      <c r="O336" s="32"/>
    </row>
    <row r="337" customFormat="false" ht="18.15" hidden="false" customHeight="true" outlineLevel="0" collapsed="false">
      <c r="B337" s="30"/>
      <c r="C337" s="51" t="str">
        <f aca="false">HYPERLINK("http://www.emi-penza.ru/p/346/", "8612.3777-02")</f>
        <v>8612.3777-02</v>
      </c>
      <c r="D337" s="52" t="s">
        <v>220</v>
      </c>
      <c r="E337" s="52"/>
      <c r="F337" s="52"/>
      <c r="G337" s="52"/>
      <c r="H337" s="52"/>
      <c r="I337" s="53" t="n">
        <v>45</v>
      </c>
      <c r="J337" s="53"/>
      <c r="K337" s="53" t="n">
        <v>60</v>
      </c>
      <c r="L337" s="52"/>
      <c r="M337" s="52"/>
      <c r="N337" s="52"/>
      <c r="O337" s="52"/>
    </row>
    <row r="338" customFormat="false" ht="9.95" hidden="false" customHeight="true" outlineLevel="0" collapsed="false">
      <c r="B338" s="3"/>
      <c r="K338" s="3"/>
    </row>
    <row r="339" customFormat="false" ht="22.7" hidden="false" customHeight="true" outlineLevel="0" collapsed="false">
      <c r="B339" s="3"/>
      <c r="C339" s="28" t="s">
        <v>221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</row>
    <row r="340" customFormat="false" ht="2.85" hidden="false" customHeight="true" outlineLevel="0" collapsed="false">
      <c r="B340" s="3"/>
    </row>
    <row r="341" customFormat="false" ht="14.15" hidden="false" customHeight="true" outlineLevel="0" collapsed="false">
      <c r="B341" s="34"/>
      <c r="C341" s="35" t="str">
        <f aca="false">HYPERLINK("http://www.emi-penza.ru/p/522/", "35.3787")</f>
        <v>35.3787</v>
      </c>
      <c r="D341" s="36" t="s">
        <v>222</v>
      </c>
      <c r="E341" s="36"/>
      <c r="F341" s="36"/>
      <c r="G341" s="36"/>
      <c r="H341" s="36"/>
      <c r="I341" s="37" t="n">
        <v>37</v>
      </c>
      <c r="J341" s="37"/>
      <c r="K341" s="36"/>
      <c r="L341" s="36" t="n">
        <v>180</v>
      </c>
      <c r="M341" s="36"/>
      <c r="N341" s="36"/>
      <c r="O341" s="36"/>
    </row>
    <row r="342" customFormat="false" ht="15" hidden="false" customHeight="true" outlineLevel="0" collapsed="false">
      <c r="B342" s="3"/>
      <c r="C342" s="38"/>
      <c r="D342" s="39"/>
      <c r="E342" s="39"/>
      <c r="F342" s="39"/>
      <c r="G342" s="39"/>
      <c r="H342" s="39"/>
      <c r="I342" s="40"/>
      <c r="J342" s="40"/>
      <c r="K342" s="39"/>
      <c r="L342" s="39"/>
      <c r="M342" s="39"/>
      <c r="N342" s="39"/>
      <c r="O342" s="39"/>
    </row>
    <row r="343" customFormat="false" ht="14.15" hidden="false" customHeight="true" outlineLevel="0" collapsed="false">
      <c r="B343" s="34"/>
      <c r="C343" s="35" t="str">
        <f aca="false">HYPERLINK("http://www.emi-penza.ru/p/518/", "35.3787-20")</f>
        <v>35.3787-20</v>
      </c>
      <c r="D343" s="36" t="s">
        <v>223</v>
      </c>
      <c r="E343" s="36"/>
      <c r="F343" s="36"/>
      <c r="G343" s="36"/>
      <c r="H343" s="36"/>
      <c r="I343" s="37" t="n">
        <v>34</v>
      </c>
      <c r="J343" s="37"/>
      <c r="K343" s="36"/>
      <c r="L343" s="36" t="n">
        <v>180</v>
      </c>
      <c r="M343" s="36"/>
      <c r="N343" s="36"/>
      <c r="O343" s="36"/>
    </row>
    <row r="344" customFormat="false" ht="15" hidden="false" customHeight="true" outlineLevel="0" collapsed="false">
      <c r="B344" s="3"/>
      <c r="C344" s="38"/>
      <c r="D344" s="39"/>
      <c r="E344" s="39"/>
      <c r="F344" s="39"/>
      <c r="G344" s="39"/>
      <c r="H344" s="39"/>
      <c r="I344" s="40"/>
      <c r="J344" s="40"/>
      <c r="K344" s="39"/>
      <c r="L344" s="39"/>
      <c r="M344" s="39"/>
      <c r="N344" s="39"/>
      <c r="O344" s="39"/>
    </row>
    <row r="345" customFormat="false" ht="14.15" hidden="false" customHeight="true" outlineLevel="0" collapsed="false">
      <c r="B345" s="34"/>
      <c r="C345" s="35" t="str">
        <f aca="false">HYPERLINK("http://www.emi-penza.ru/p/519/", "35.3787-30")</f>
        <v>35.3787-30</v>
      </c>
      <c r="D345" s="36" t="s">
        <v>224</v>
      </c>
      <c r="E345" s="36"/>
      <c r="F345" s="36"/>
      <c r="G345" s="36"/>
      <c r="H345" s="36"/>
      <c r="I345" s="37" t="n">
        <v>37</v>
      </c>
      <c r="J345" s="37"/>
      <c r="K345" s="36"/>
      <c r="L345" s="36" t="n">
        <v>180</v>
      </c>
      <c r="M345" s="36"/>
      <c r="N345" s="36"/>
      <c r="O345" s="36"/>
    </row>
    <row r="346" customFormat="false" ht="15" hidden="false" customHeight="true" outlineLevel="0" collapsed="false">
      <c r="B346" s="3"/>
      <c r="C346" s="38"/>
      <c r="D346" s="39"/>
      <c r="E346" s="39"/>
      <c r="F346" s="39"/>
      <c r="G346" s="39"/>
      <c r="H346" s="39"/>
      <c r="I346" s="40"/>
      <c r="J346" s="40"/>
      <c r="K346" s="39"/>
      <c r="L346" s="39"/>
      <c r="M346" s="39"/>
      <c r="N346" s="39"/>
      <c r="O346" s="39"/>
    </row>
    <row r="347" customFormat="false" ht="14.15" hidden="false" customHeight="true" outlineLevel="0" collapsed="false">
      <c r="B347" s="34"/>
      <c r="C347" s="35" t="str">
        <f aca="false">HYPERLINK("http://www.emi-penza.ru/p/551/", "46.3787")</f>
        <v>46.3787</v>
      </c>
      <c r="D347" s="36" t="s">
        <v>225</v>
      </c>
      <c r="E347" s="36"/>
      <c r="F347" s="36"/>
      <c r="G347" s="36"/>
      <c r="H347" s="36"/>
      <c r="I347" s="37" t="n">
        <v>29</v>
      </c>
      <c r="J347" s="37"/>
      <c r="K347" s="36"/>
      <c r="L347" s="37" t="n">
        <v>240</v>
      </c>
      <c r="M347" s="36"/>
      <c r="N347" s="36"/>
      <c r="O347" s="36"/>
    </row>
    <row r="348" customFormat="false" ht="15" hidden="false" customHeight="true" outlineLevel="0" collapsed="false">
      <c r="B348" s="3"/>
      <c r="C348" s="38"/>
      <c r="D348" s="39"/>
      <c r="E348" s="39"/>
      <c r="F348" s="39"/>
      <c r="G348" s="39"/>
      <c r="H348" s="39"/>
      <c r="I348" s="40"/>
      <c r="J348" s="40"/>
      <c r="K348" s="39"/>
      <c r="L348" s="40"/>
      <c r="M348" s="39"/>
      <c r="N348" s="39"/>
      <c r="O348" s="39"/>
    </row>
    <row r="349" customFormat="false" ht="14.15" hidden="false" customHeight="true" outlineLevel="0" collapsed="false">
      <c r="B349" s="34"/>
      <c r="C349" s="35" t="str">
        <f aca="false">HYPERLINK("http://www.emi-penza.ru/p/534/", "46.3787-01")</f>
        <v>46.3787-01</v>
      </c>
      <c r="D349" s="36" t="s">
        <v>226</v>
      </c>
      <c r="E349" s="36"/>
      <c r="F349" s="36"/>
      <c r="G349" s="36"/>
      <c r="H349" s="36"/>
      <c r="I349" s="37" t="n">
        <v>29</v>
      </c>
      <c r="J349" s="37"/>
      <c r="K349" s="36"/>
      <c r="L349" s="37" t="n">
        <v>240</v>
      </c>
      <c r="M349" s="36"/>
      <c r="N349" s="36"/>
      <c r="O349" s="36"/>
    </row>
    <row r="350" customFormat="false" ht="15" hidden="false" customHeight="true" outlineLevel="0" collapsed="false">
      <c r="B350" s="3"/>
      <c r="C350" s="38"/>
      <c r="D350" s="39"/>
      <c r="E350" s="39"/>
      <c r="F350" s="39"/>
      <c r="G350" s="39"/>
      <c r="H350" s="39"/>
      <c r="I350" s="40"/>
      <c r="J350" s="40"/>
      <c r="K350" s="39"/>
      <c r="L350" s="40"/>
      <c r="M350" s="39"/>
      <c r="N350" s="39"/>
      <c r="O350" s="39"/>
    </row>
    <row r="351" customFormat="false" ht="14.15" hidden="false" customHeight="true" outlineLevel="0" collapsed="false">
      <c r="B351" s="34"/>
      <c r="C351" s="35" t="str">
        <f aca="false">HYPERLINK("http://www.emi-penza.ru/p/531/", "46.3787-02")</f>
        <v>46.3787-02</v>
      </c>
      <c r="D351" s="36" t="s">
        <v>227</v>
      </c>
      <c r="E351" s="36"/>
      <c r="F351" s="36"/>
      <c r="G351" s="36"/>
      <c r="H351" s="36"/>
      <c r="I351" s="37" t="n">
        <v>30</v>
      </c>
      <c r="J351" s="37"/>
      <c r="K351" s="36"/>
      <c r="L351" s="37" t="n">
        <v>240</v>
      </c>
      <c r="M351" s="36"/>
      <c r="N351" s="36"/>
      <c r="O351" s="36"/>
    </row>
    <row r="352" customFormat="false" ht="15" hidden="false" customHeight="true" outlineLevel="0" collapsed="false">
      <c r="B352" s="3"/>
      <c r="C352" s="38"/>
      <c r="D352" s="39"/>
      <c r="E352" s="39"/>
      <c r="F352" s="39"/>
      <c r="G352" s="39"/>
      <c r="H352" s="39"/>
      <c r="I352" s="40"/>
      <c r="J352" s="40"/>
      <c r="K352" s="39"/>
      <c r="L352" s="40"/>
      <c r="M352" s="39"/>
      <c r="N352" s="39"/>
      <c r="O352" s="39"/>
    </row>
    <row r="353" customFormat="false" ht="14.15" hidden="false" customHeight="true" outlineLevel="0" collapsed="false">
      <c r="B353" s="34"/>
      <c r="C353" s="35" t="str">
        <f aca="false">HYPERLINK("http://www.emi-penza.ru/p/552/", "46.3787-03")</f>
        <v>46.3787-03</v>
      </c>
      <c r="D353" s="36" t="s">
        <v>228</v>
      </c>
      <c r="E353" s="36"/>
      <c r="F353" s="36"/>
      <c r="G353" s="36"/>
      <c r="H353" s="36"/>
      <c r="I353" s="37" t="n">
        <v>30</v>
      </c>
      <c r="J353" s="37"/>
      <c r="K353" s="36"/>
      <c r="L353" s="37" t="n">
        <v>240</v>
      </c>
      <c r="M353" s="36"/>
      <c r="N353" s="36"/>
      <c r="O353" s="36"/>
    </row>
    <row r="354" customFormat="false" ht="15" hidden="false" customHeight="true" outlineLevel="0" collapsed="false">
      <c r="B354" s="3"/>
      <c r="C354" s="38"/>
      <c r="D354" s="39"/>
      <c r="E354" s="39"/>
      <c r="F354" s="39"/>
      <c r="G354" s="39"/>
      <c r="H354" s="39"/>
      <c r="I354" s="40"/>
      <c r="J354" s="40"/>
      <c r="K354" s="39"/>
      <c r="L354" s="40"/>
      <c r="M354" s="39"/>
      <c r="N354" s="39"/>
      <c r="O354" s="39"/>
    </row>
    <row r="355" customFormat="false" ht="14.15" hidden="false" customHeight="true" outlineLevel="0" collapsed="false">
      <c r="B355" s="34"/>
      <c r="C355" s="35" t="str">
        <f aca="false">HYPERLINK("http://www.emi-penza.ru/p/535/", "46.3787-11")</f>
        <v>46.3787-11</v>
      </c>
      <c r="D355" s="36" t="s">
        <v>229</v>
      </c>
      <c r="E355" s="36"/>
      <c r="F355" s="36"/>
      <c r="G355" s="36"/>
      <c r="H355" s="36"/>
      <c r="I355" s="37" t="n">
        <v>30</v>
      </c>
      <c r="J355" s="37"/>
      <c r="K355" s="36"/>
      <c r="L355" s="37" t="n">
        <v>240</v>
      </c>
      <c r="M355" s="36"/>
      <c r="N355" s="36"/>
      <c r="O355" s="36"/>
    </row>
    <row r="356" customFormat="false" ht="15" hidden="false" customHeight="true" outlineLevel="0" collapsed="false">
      <c r="B356" s="3"/>
      <c r="C356" s="38"/>
      <c r="D356" s="39"/>
      <c r="E356" s="39"/>
      <c r="F356" s="39"/>
      <c r="G356" s="39"/>
      <c r="H356" s="39"/>
      <c r="I356" s="40"/>
      <c r="J356" s="40"/>
      <c r="K356" s="39"/>
      <c r="L356" s="40"/>
      <c r="M356" s="39"/>
      <c r="N356" s="39"/>
      <c r="O356" s="39"/>
    </row>
    <row r="357" customFormat="false" ht="14.15" hidden="false" customHeight="true" outlineLevel="0" collapsed="false">
      <c r="B357" s="34"/>
      <c r="C357" s="35" t="str">
        <f aca="false">HYPERLINK("http://www.emi-penza.ru/p/536/", "46.3787-21")</f>
        <v>46.3787-21</v>
      </c>
      <c r="D357" s="36" t="s">
        <v>230</v>
      </c>
      <c r="E357" s="36"/>
      <c r="F357" s="36"/>
      <c r="G357" s="36"/>
      <c r="H357" s="36"/>
      <c r="I357" s="37" t="n">
        <v>27</v>
      </c>
      <c r="J357" s="37"/>
      <c r="K357" s="36"/>
      <c r="L357" s="37" t="n">
        <v>240</v>
      </c>
      <c r="M357" s="36"/>
      <c r="N357" s="36"/>
      <c r="O357" s="36"/>
    </row>
    <row r="358" customFormat="false" ht="15" hidden="false" customHeight="true" outlineLevel="0" collapsed="false">
      <c r="B358" s="3"/>
      <c r="C358" s="38"/>
      <c r="D358" s="39"/>
      <c r="E358" s="39"/>
      <c r="F358" s="39"/>
      <c r="G358" s="39"/>
      <c r="H358" s="39"/>
      <c r="I358" s="40"/>
      <c r="J358" s="40"/>
      <c r="K358" s="39"/>
      <c r="L358" s="40"/>
      <c r="M358" s="39"/>
      <c r="N358" s="39"/>
      <c r="O358" s="39"/>
    </row>
    <row r="359" customFormat="false" ht="14.15" hidden="false" customHeight="true" outlineLevel="0" collapsed="false">
      <c r="B359" s="34"/>
      <c r="C359" s="35" t="str">
        <f aca="false">HYPERLINK("http://www.emi-penza.ru/p/554/", "46.3787-32")</f>
        <v>46.3787-32</v>
      </c>
      <c r="D359" s="36" t="s">
        <v>231</v>
      </c>
      <c r="E359" s="36"/>
      <c r="F359" s="36"/>
      <c r="G359" s="36"/>
      <c r="H359" s="36"/>
      <c r="I359" s="37" t="n">
        <v>35</v>
      </c>
      <c r="J359" s="37"/>
      <c r="K359" s="36"/>
      <c r="L359" s="37" t="n">
        <v>240</v>
      </c>
      <c r="M359" s="36"/>
      <c r="N359" s="36"/>
      <c r="O359" s="36"/>
    </row>
    <row r="360" customFormat="false" ht="15" hidden="false" customHeight="true" outlineLevel="0" collapsed="false">
      <c r="B360" s="3"/>
      <c r="C360" s="38"/>
      <c r="D360" s="39"/>
      <c r="E360" s="39"/>
      <c r="F360" s="39"/>
      <c r="G360" s="39"/>
      <c r="H360" s="39"/>
      <c r="I360" s="40"/>
      <c r="J360" s="40"/>
      <c r="K360" s="39"/>
      <c r="L360" s="40"/>
      <c r="M360" s="39"/>
      <c r="N360" s="39"/>
      <c r="O360" s="39"/>
    </row>
    <row r="361" customFormat="false" ht="14.15" hidden="false" customHeight="true" outlineLevel="0" collapsed="false">
      <c r="B361" s="34"/>
      <c r="C361" s="35" t="str">
        <f aca="false">HYPERLINK("http://www.emi-penza.ru/p/556/", "46.3787-111")</f>
        <v>46.3787-111</v>
      </c>
      <c r="D361" s="36" t="s">
        <v>232</v>
      </c>
      <c r="E361" s="36"/>
      <c r="F361" s="36"/>
      <c r="G361" s="36"/>
      <c r="H361" s="36"/>
      <c r="I361" s="37" t="n">
        <v>35</v>
      </c>
      <c r="J361" s="37"/>
      <c r="K361" s="36"/>
      <c r="L361" s="37" t="n">
        <v>240</v>
      </c>
      <c r="M361" s="36"/>
      <c r="N361" s="36"/>
      <c r="O361" s="36"/>
    </row>
    <row r="362" customFormat="false" ht="15" hidden="false" customHeight="true" outlineLevel="0" collapsed="false">
      <c r="B362" s="3"/>
      <c r="C362" s="38"/>
      <c r="D362" s="39"/>
      <c r="E362" s="39"/>
      <c r="F362" s="39"/>
      <c r="G362" s="39"/>
      <c r="H362" s="39"/>
      <c r="I362" s="40"/>
      <c r="J362" s="40"/>
      <c r="K362" s="39"/>
      <c r="L362" s="40"/>
      <c r="M362" s="39"/>
      <c r="N362" s="39"/>
      <c r="O362" s="39"/>
    </row>
    <row r="363" customFormat="false" ht="14.15" hidden="false" customHeight="true" outlineLevel="0" collapsed="false">
      <c r="B363" s="34"/>
      <c r="C363" s="35" t="str">
        <f aca="false">HYPERLINK("http://www.emi-penza.ru/p/520/", "47.3787")</f>
        <v>47.3787</v>
      </c>
      <c r="D363" s="36" t="s">
        <v>233</v>
      </c>
      <c r="E363" s="36"/>
      <c r="F363" s="36"/>
      <c r="G363" s="36"/>
      <c r="H363" s="36"/>
      <c r="I363" s="37" t="n">
        <v>31</v>
      </c>
      <c r="J363" s="37"/>
      <c r="K363" s="36"/>
      <c r="L363" s="36" t="n">
        <v>180</v>
      </c>
      <c r="M363" s="36"/>
      <c r="N363" s="36"/>
      <c r="O363" s="36"/>
    </row>
    <row r="364" customFormat="false" ht="15" hidden="false" customHeight="true" outlineLevel="0" collapsed="false">
      <c r="B364" s="3"/>
      <c r="C364" s="38"/>
      <c r="D364" s="39"/>
      <c r="E364" s="39"/>
      <c r="F364" s="39"/>
      <c r="G364" s="39"/>
      <c r="H364" s="39"/>
      <c r="I364" s="40"/>
      <c r="J364" s="40"/>
      <c r="K364" s="39"/>
      <c r="L364" s="39"/>
      <c r="M364" s="39"/>
      <c r="N364" s="39"/>
      <c r="O364" s="39"/>
    </row>
    <row r="365" customFormat="false" ht="14.15" hidden="false" customHeight="true" outlineLevel="0" collapsed="false">
      <c r="B365" s="34"/>
      <c r="C365" s="35" t="str">
        <f aca="false">HYPERLINK("http://www.emi-penza.ru/p/521/", "47.3787-10")</f>
        <v>47.3787-10</v>
      </c>
      <c r="D365" s="36" t="s">
        <v>234</v>
      </c>
      <c r="E365" s="36"/>
      <c r="F365" s="36"/>
      <c r="G365" s="36"/>
      <c r="H365" s="36"/>
      <c r="I365" s="37" t="n">
        <v>29</v>
      </c>
      <c r="J365" s="37"/>
      <c r="K365" s="36"/>
      <c r="L365" s="36" t="n">
        <v>180</v>
      </c>
      <c r="M365" s="36"/>
      <c r="N365" s="36"/>
      <c r="O365" s="36"/>
    </row>
    <row r="366" customFormat="false" ht="15" hidden="false" customHeight="true" outlineLevel="0" collapsed="false">
      <c r="B366" s="3"/>
      <c r="C366" s="68"/>
      <c r="D366" s="69"/>
      <c r="E366" s="69"/>
      <c r="F366" s="69"/>
      <c r="G366" s="69"/>
      <c r="H366" s="69"/>
      <c r="I366" s="70"/>
      <c r="J366" s="70"/>
      <c r="K366" s="69"/>
      <c r="L366" s="69"/>
      <c r="M366" s="69"/>
      <c r="N366" s="69"/>
      <c r="O366" s="69"/>
    </row>
    <row r="367" customFormat="false" ht="14.15" hidden="false" customHeight="true" outlineLevel="0" collapsed="false">
      <c r="B367" s="34"/>
      <c r="C367" s="35" t="str">
        <f aca="false">HYPERLINK("http://www.emi-penza.ru/p/553/", "461.3787")</f>
        <v>461.3787</v>
      </c>
      <c r="D367" s="36" t="s">
        <v>235</v>
      </c>
      <c r="E367" s="36"/>
      <c r="F367" s="36"/>
      <c r="G367" s="36"/>
      <c r="H367" s="36"/>
      <c r="I367" s="37" t="n">
        <v>31</v>
      </c>
      <c r="J367" s="37"/>
      <c r="K367" s="36"/>
      <c r="L367" s="36" t="n">
        <v>216</v>
      </c>
      <c r="M367" s="36"/>
      <c r="N367" s="36"/>
      <c r="O367" s="36"/>
    </row>
    <row r="368" customFormat="false" ht="15" hidden="false" customHeight="true" outlineLevel="0" collapsed="false">
      <c r="B368" s="3"/>
      <c r="C368" s="38"/>
      <c r="D368" s="39"/>
      <c r="E368" s="39"/>
      <c r="F368" s="39"/>
      <c r="G368" s="39"/>
      <c r="H368" s="39"/>
      <c r="I368" s="40"/>
      <c r="J368" s="40"/>
      <c r="K368" s="39"/>
      <c r="L368" s="39"/>
      <c r="M368" s="39"/>
      <c r="N368" s="39"/>
      <c r="O368" s="39"/>
    </row>
    <row r="369" customFormat="false" ht="14.15" hidden="false" customHeight="true" outlineLevel="0" collapsed="false">
      <c r="B369" s="34"/>
      <c r="C369" s="35" t="str">
        <f aca="false">HYPERLINK("http://www.emi-penza.ru/p/530/", "461.3787-01")</f>
        <v>461.3787-01</v>
      </c>
      <c r="D369" s="36" t="s">
        <v>236</v>
      </c>
      <c r="E369" s="36"/>
      <c r="F369" s="36"/>
      <c r="G369" s="36"/>
      <c r="H369" s="36"/>
      <c r="I369" s="37" t="n">
        <v>31</v>
      </c>
      <c r="J369" s="37"/>
      <c r="K369" s="36"/>
      <c r="L369" s="36" t="n">
        <v>216</v>
      </c>
      <c r="M369" s="36"/>
      <c r="N369" s="36"/>
      <c r="O369" s="36"/>
    </row>
    <row r="370" customFormat="false" ht="15" hidden="false" customHeight="true" outlineLevel="0" collapsed="false">
      <c r="B370" s="3"/>
      <c r="C370" s="38"/>
      <c r="D370" s="39"/>
      <c r="E370" s="39"/>
      <c r="F370" s="39"/>
      <c r="G370" s="39"/>
      <c r="H370" s="39"/>
      <c r="I370" s="40"/>
      <c r="J370" s="40"/>
      <c r="K370" s="39"/>
      <c r="L370" s="39"/>
      <c r="M370" s="39"/>
      <c r="N370" s="39"/>
      <c r="O370" s="39"/>
    </row>
    <row r="371" customFormat="false" ht="14.15" hidden="false" customHeight="true" outlineLevel="0" collapsed="false">
      <c r="B371" s="34"/>
      <c r="C371" s="35" t="str">
        <f aca="false">HYPERLINK("http://www.emi-penza.ru/p/532/", "461.3787-02")</f>
        <v>461.3787-02</v>
      </c>
      <c r="D371" s="36" t="s">
        <v>237</v>
      </c>
      <c r="E371" s="36"/>
      <c r="F371" s="36"/>
      <c r="G371" s="36"/>
      <c r="H371" s="36"/>
      <c r="I371" s="37" t="n">
        <v>32</v>
      </c>
      <c r="J371" s="37"/>
      <c r="K371" s="36"/>
      <c r="L371" s="36" t="n">
        <v>216</v>
      </c>
      <c r="M371" s="36"/>
      <c r="N371" s="36"/>
      <c r="O371" s="36"/>
    </row>
    <row r="372" customFormat="false" ht="15" hidden="false" customHeight="true" outlineLevel="0" collapsed="false">
      <c r="B372" s="3"/>
      <c r="C372" s="38"/>
      <c r="D372" s="39"/>
      <c r="E372" s="39"/>
      <c r="F372" s="39"/>
      <c r="G372" s="39"/>
      <c r="H372" s="39"/>
      <c r="I372" s="40"/>
      <c r="J372" s="40"/>
      <c r="K372" s="39"/>
      <c r="L372" s="39"/>
      <c r="M372" s="39"/>
      <c r="N372" s="39"/>
      <c r="O372" s="39"/>
    </row>
    <row r="373" customFormat="false" ht="14.15" hidden="false" customHeight="true" outlineLevel="0" collapsed="false">
      <c r="B373" s="34"/>
      <c r="C373" s="35" t="str">
        <f aca="false">HYPERLINK("http://www.emi-penza.ru/p/533/", "461.3787-11")</f>
        <v>461.3787-11</v>
      </c>
      <c r="D373" s="36" t="s">
        <v>238</v>
      </c>
      <c r="E373" s="36"/>
      <c r="F373" s="36"/>
      <c r="G373" s="36"/>
      <c r="H373" s="36"/>
      <c r="I373" s="37" t="n">
        <v>33</v>
      </c>
      <c r="J373" s="37"/>
      <c r="K373" s="36"/>
      <c r="L373" s="36" t="n">
        <v>216</v>
      </c>
      <c r="M373" s="36"/>
      <c r="N373" s="36"/>
      <c r="O373" s="36"/>
    </row>
    <row r="374" customFormat="false" ht="15" hidden="false" customHeight="true" outlineLevel="0" collapsed="false">
      <c r="B374" s="3"/>
      <c r="C374" s="38"/>
      <c r="D374" s="39"/>
      <c r="E374" s="39"/>
      <c r="F374" s="39"/>
      <c r="G374" s="39"/>
      <c r="H374" s="39"/>
      <c r="I374" s="40"/>
      <c r="J374" s="40"/>
      <c r="K374" s="39"/>
      <c r="L374" s="39"/>
      <c r="M374" s="39"/>
      <c r="N374" s="39"/>
      <c r="O374" s="39"/>
    </row>
    <row r="375" customFormat="false" ht="14.15" hidden="false" customHeight="true" outlineLevel="0" collapsed="false">
      <c r="B375" s="34"/>
      <c r="C375" s="35" t="str">
        <f aca="false">HYPERLINK("http://www.emi-penza.ru/p/557/", "461.3787-111")</f>
        <v>461.3787-111</v>
      </c>
      <c r="D375" s="36" t="s">
        <v>239</v>
      </c>
      <c r="E375" s="36"/>
      <c r="F375" s="36"/>
      <c r="G375" s="36"/>
      <c r="H375" s="36"/>
      <c r="I375" s="37" t="n">
        <v>35</v>
      </c>
      <c r="J375" s="37"/>
      <c r="K375" s="36"/>
      <c r="L375" s="36" t="n">
        <v>216</v>
      </c>
      <c r="M375" s="36"/>
      <c r="N375" s="36"/>
      <c r="O375" s="36"/>
    </row>
    <row r="376" customFormat="false" ht="15" hidden="false" customHeight="true" outlineLevel="0" collapsed="false">
      <c r="B376" s="3"/>
      <c r="C376" s="38"/>
      <c r="D376" s="39"/>
      <c r="E376" s="39"/>
      <c r="F376" s="39"/>
      <c r="G376" s="39"/>
      <c r="H376" s="39"/>
      <c r="I376" s="40"/>
      <c r="J376" s="40"/>
      <c r="K376" s="39"/>
      <c r="L376" s="39"/>
      <c r="M376" s="39"/>
      <c r="N376" s="39"/>
      <c r="O376" s="39"/>
    </row>
    <row r="377" customFormat="false" ht="14.15" hidden="false" customHeight="true" outlineLevel="0" collapsed="false">
      <c r="B377" s="34"/>
      <c r="C377" s="35" t="str">
        <f aca="false">HYPERLINK("http://www.emi-penza.ru/p/558/", "461.3787-131")</f>
        <v>461.3787-131</v>
      </c>
      <c r="D377" s="36" t="s">
        <v>240</v>
      </c>
      <c r="E377" s="36"/>
      <c r="F377" s="36"/>
      <c r="G377" s="36"/>
      <c r="H377" s="36"/>
      <c r="I377" s="37" t="n">
        <v>35</v>
      </c>
      <c r="J377" s="37"/>
      <c r="K377" s="36"/>
      <c r="L377" s="36" t="n">
        <v>216</v>
      </c>
      <c r="M377" s="36"/>
      <c r="N377" s="36"/>
      <c r="O377" s="36"/>
    </row>
    <row r="378" customFormat="false" ht="15" hidden="false" customHeight="true" outlineLevel="0" collapsed="false">
      <c r="B378" s="3"/>
      <c r="C378" s="47"/>
      <c r="D378" s="48"/>
      <c r="E378" s="48"/>
      <c r="F378" s="48"/>
      <c r="G378" s="48"/>
      <c r="H378" s="48"/>
      <c r="I378" s="49"/>
      <c r="J378" s="49"/>
      <c r="K378" s="48"/>
      <c r="L378" s="48"/>
      <c r="M378" s="48"/>
      <c r="N378" s="48"/>
      <c r="O378" s="48"/>
    </row>
    <row r="379" customFormat="false" ht="15" hidden="false" customHeight="true" outlineLevel="0" collapsed="false">
      <c r="B379" s="3"/>
      <c r="C379" s="47"/>
      <c r="D379" s="48"/>
      <c r="E379" s="48"/>
      <c r="F379" s="48"/>
      <c r="G379" s="48"/>
      <c r="H379" s="48"/>
      <c r="I379" s="49"/>
      <c r="J379" s="49"/>
      <c r="K379" s="48"/>
      <c r="L379" s="48"/>
      <c r="M379" s="49"/>
      <c r="N379" s="71"/>
      <c r="O379" s="71"/>
    </row>
    <row r="380" customFormat="false" ht="15" hidden="false" customHeight="true" outlineLevel="0" collapsed="false">
      <c r="B380" s="3"/>
      <c r="C380" s="72" t="str">
        <f aca="false">HYPERLINK("https://www.emi-penza.ru/-/документы/продукция/завод_ЭМИ_все_реле.pdf", "Полный список серийно выпускаемых универсальных реле насчитывает 337 модификации. Подробности на следующей странице и на нашем сайте.")</f>
        <v>Полный список серийно выпускаемых универсальных реле насчитывает 337 модификации. Подробности на следующей странице и на нашем сайте.</v>
      </c>
      <c r="D380" s="48"/>
      <c r="E380" s="48"/>
      <c r="F380" s="48"/>
      <c r="G380" s="48"/>
      <c r="H380" s="48"/>
      <c r="I380" s="49"/>
      <c r="J380" s="49"/>
      <c r="K380" s="48"/>
      <c r="L380" s="48"/>
      <c r="M380" s="49"/>
      <c r="N380" s="71"/>
      <c r="O380" s="71"/>
    </row>
    <row r="381" customFormat="false" ht="15" hidden="false" customHeight="true" outlineLevel="0" collapsed="false">
      <c r="B381" s="3"/>
      <c r="C381" s="47"/>
      <c r="D381" s="48"/>
      <c r="E381" s="48"/>
      <c r="F381" s="48"/>
      <c r="G381" s="48"/>
      <c r="H381" s="48"/>
      <c r="I381" s="49"/>
      <c r="J381" s="49"/>
      <c r="K381" s="48"/>
      <c r="L381" s="48"/>
      <c r="M381" s="49"/>
      <c r="N381" s="71"/>
      <c r="O381" s="71"/>
    </row>
    <row r="382" customFormat="false" ht="9.95" hidden="false" customHeight="true" outlineLevel="0" collapsed="false">
      <c r="B382" s="3"/>
    </row>
    <row r="383" customFormat="false" ht="22.7" hidden="false" customHeight="true" outlineLevel="0" collapsed="false">
      <c r="B383" s="3"/>
      <c r="C383" s="28" t="s">
        <v>241</v>
      </c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</row>
    <row r="384" customFormat="false" ht="2.85" hidden="false" customHeight="true" outlineLevel="0" collapsed="false">
      <c r="B384" s="3"/>
    </row>
    <row r="385" customFormat="false" ht="17.85" hidden="false" customHeight="true" outlineLevel="0" collapsed="false">
      <c r="B385" s="30"/>
      <c r="C385" s="31" t="str">
        <f aca="false">HYPERLINK("http://www.emi-penza.ru/p/548/", "64.3787-011")</f>
        <v>64.3787-011</v>
      </c>
      <c r="D385" s="32" t="s">
        <v>242</v>
      </c>
      <c r="E385" s="32"/>
      <c r="F385" s="32"/>
      <c r="G385" s="32"/>
      <c r="H385" s="32"/>
      <c r="I385" s="33" t="n">
        <v>13</v>
      </c>
      <c r="J385" s="33"/>
      <c r="K385" s="33" t="n">
        <v>572</v>
      </c>
      <c r="L385" s="32"/>
      <c r="M385" s="32"/>
      <c r="N385" s="32"/>
      <c r="O385" s="32" t="n">
        <v>200</v>
      </c>
    </row>
    <row r="386" customFormat="false" ht="17.85" hidden="false" customHeight="true" outlineLevel="0" collapsed="false">
      <c r="B386" s="30"/>
      <c r="C386" s="31" t="str">
        <f aca="false">HYPERLINK("http://www.emi-penza.ru/p/547/", "64.3787-111")</f>
        <v>64.3787-111</v>
      </c>
      <c r="D386" s="32" t="s">
        <v>243</v>
      </c>
      <c r="E386" s="32"/>
      <c r="F386" s="32"/>
      <c r="G386" s="32"/>
      <c r="H386" s="32"/>
      <c r="I386" s="33" t="n">
        <v>13</v>
      </c>
      <c r="J386" s="33"/>
      <c r="K386" s="33" t="n">
        <v>572</v>
      </c>
      <c r="L386" s="32"/>
      <c r="M386" s="32"/>
      <c r="N386" s="32"/>
      <c r="O386" s="32" t="n">
        <v>200</v>
      </c>
    </row>
    <row r="387" customFormat="false" ht="17.85" hidden="false" customHeight="true" outlineLevel="0" collapsed="false">
      <c r="B387" s="30"/>
      <c r="C387" s="31" t="str">
        <f aca="false">HYPERLINK("http://www.emi-penza.ru/p/549/", "641.3787-01")</f>
        <v>641.3787-01</v>
      </c>
      <c r="D387" s="32" t="s">
        <v>244</v>
      </c>
      <c r="E387" s="32"/>
      <c r="F387" s="32"/>
      <c r="G387" s="32"/>
      <c r="H387" s="32"/>
      <c r="I387" s="33" t="n">
        <v>13</v>
      </c>
      <c r="J387" s="33"/>
      <c r="K387" s="33" t="n">
        <v>572</v>
      </c>
      <c r="L387" s="32"/>
      <c r="M387" s="32"/>
      <c r="N387" s="32"/>
      <c r="O387" s="32" t="n">
        <v>200</v>
      </c>
    </row>
    <row r="388" customFormat="false" ht="17.85" hidden="false" customHeight="true" outlineLevel="0" collapsed="false">
      <c r="B388" s="30"/>
      <c r="C388" s="31" t="str">
        <f aca="false">HYPERLINK("http://www.emi-penza.ru/p/550/", "641.3787-11")</f>
        <v>641.3787-11</v>
      </c>
      <c r="D388" s="32" t="s">
        <v>245</v>
      </c>
      <c r="E388" s="32"/>
      <c r="F388" s="32"/>
      <c r="G388" s="32"/>
      <c r="H388" s="32"/>
      <c r="I388" s="33" t="n">
        <v>12</v>
      </c>
      <c r="J388" s="33"/>
      <c r="K388" s="33" t="n">
        <v>572</v>
      </c>
      <c r="L388" s="32"/>
      <c r="M388" s="32"/>
      <c r="N388" s="32"/>
      <c r="O388" s="32" t="n">
        <v>200</v>
      </c>
    </row>
    <row r="389" customFormat="false" ht="17.85" hidden="false" customHeight="true" outlineLevel="0" collapsed="false">
      <c r="B389" s="30"/>
      <c r="C389" s="31" t="str">
        <f aca="false">HYPERLINK("http://www.emi-penza.ru/p/559/", "644.3787-10")</f>
        <v>644.3787-10</v>
      </c>
      <c r="D389" s="32" t="s">
        <v>246</v>
      </c>
      <c r="E389" s="32"/>
      <c r="F389" s="32"/>
      <c r="G389" s="32"/>
      <c r="H389" s="32"/>
      <c r="I389" s="33" t="n">
        <v>35</v>
      </c>
      <c r="J389" s="33"/>
      <c r="K389" s="33" t="n">
        <v>572</v>
      </c>
      <c r="L389" s="32"/>
      <c r="M389" s="32"/>
      <c r="N389" s="32"/>
      <c r="O389" s="32" t="n">
        <v>200</v>
      </c>
    </row>
    <row r="390" customFormat="false" ht="17.85" hidden="false" customHeight="true" outlineLevel="0" collapsed="false">
      <c r="B390" s="30"/>
      <c r="C390" s="54" t="str">
        <f aca="false">HYPERLINK("http://www.emi-penza.ru/p/555/", "783.3787-002")</f>
        <v>783.3787-002</v>
      </c>
      <c r="D390" s="44" t="s">
        <v>247</v>
      </c>
      <c r="E390" s="44"/>
      <c r="F390" s="44"/>
      <c r="G390" s="44"/>
      <c r="H390" s="44"/>
      <c r="I390" s="45" t="n">
        <v>30</v>
      </c>
      <c r="J390" s="45"/>
      <c r="K390" s="45" t="n">
        <v>250</v>
      </c>
      <c r="L390" s="44"/>
      <c r="M390" s="44"/>
      <c r="N390" s="44"/>
      <c r="O390" s="44"/>
    </row>
    <row r="391" customFormat="false" ht="5.1" hidden="false" customHeight="true" outlineLevel="0" collapsed="false">
      <c r="B391" s="3"/>
      <c r="K391" s="3"/>
    </row>
    <row r="392" customFormat="false" ht="17.85" hidden="false" customHeight="true" outlineLevel="0" collapsed="false">
      <c r="B392" s="30"/>
      <c r="C392" s="31" t="str">
        <f aca="false">HYPERLINK("http://www.emi-penza.ru/p/501/", "98.3777")</f>
        <v>98.3777</v>
      </c>
      <c r="D392" s="32" t="s">
        <v>248</v>
      </c>
      <c r="E392" s="32"/>
      <c r="F392" s="32"/>
      <c r="G392" s="32"/>
      <c r="H392" s="32"/>
      <c r="I392" s="33" t="n">
        <v>30</v>
      </c>
      <c r="J392" s="33"/>
      <c r="K392" s="33" t="n">
        <v>250</v>
      </c>
      <c r="L392" s="32"/>
      <c r="M392" s="32"/>
      <c r="N392" s="32"/>
      <c r="O392" s="32"/>
    </row>
    <row r="393" customFormat="false" ht="17.85" hidden="false" customHeight="true" outlineLevel="0" collapsed="false">
      <c r="B393" s="30"/>
      <c r="C393" s="31" t="str">
        <f aca="false">HYPERLINK("http://www.emi-penza.ru/p/98.3777-002", "98.3777-002")</f>
        <v>98.3777-002</v>
      </c>
      <c r="D393" s="32"/>
      <c r="E393" s="32"/>
      <c r="F393" s="32"/>
      <c r="G393" s="32"/>
      <c r="H393" s="32"/>
      <c r="I393" s="33" t="n">
        <v>34</v>
      </c>
      <c r="J393" s="33"/>
      <c r="K393" s="33" t="n">
        <v>216</v>
      </c>
      <c r="L393" s="32"/>
      <c r="M393" s="32"/>
      <c r="N393" s="32"/>
      <c r="O393" s="32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7.85" hidden="false" customHeight="true" outlineLevel="0" collapsed="false">
      <c r="B394" s="30"/>
      <c r="C394" s="31" t="str">
        <f aca="false">HYPERLINK("http://www.emi-penza.ru/p/98.3777-012", "98.3777-012")</f>
        <v>98.3777-012</v>
      </c>
      <c r="D394" s="32"/>
      <c r="E394" s="32"/>
      <c r="F394" s="32"/>
      <c r="G394" s="32"/>
      <c r="H394" s="32"/>
      <c r="I394" s="33" t="n">
        <v>33</v>
      </c>
      <c r="J394" s="33"/>
      <c r="K394" s="33" t="n">
        <v>240</v>
      </c>
      <c r="L394" s="32"/>
      <c r="M394" s="32"/>
      <c r="N394" s="32"/>
      <c r="O394" s="32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7.85" hidden="false" customHeight="true" outlineLevel="0" collapsed="false">
      <c r="B395" s="30"/>
      <c r="C395" s="31" t="str">
        <f aca="false">HYPERLINK("http://www.emi-penza.ru/p/537/", "982.3777")</f>
        <v>982.3777</v>
      </c>
      <c r="D395" s="32" t="s">
        <v>249</v>
      </c>
      <c r="E395" s="32"/>
      <c r="F395" s="32"/>
      <c r="G395" s="32"/>
      <c r="H395" s="32"/>
      <c r="I395" s="33" t="n">
        <v>30</v>
      </c>
      <c r="J395" s="33"/>
      <c r="K395" s="33" t="n">
        <v>250</v>
      </c>
      <c r="L395" s="32"/>
      <c r="M395" s="32"/>
      <c r="N395" s="32"/>
      <c r="O395" s="32"/>
    </row>
    <row r="396" customFormat="false" ht="17.85" hidden="false" customHeight="true" outlineLevel="0" collapsed="false">
      <c r="B396" s="30"/>
      <c r="C396" s="31" t="str">
        <f aca="false">HYPERLINK("http://www.emi-penza.ru/p/561/", "982.3777-001")</f>
        <v>982.3777-001</v>
      </c>
      <c r="D396" s="32" t="s">
        <v>250</v>
      </c>
      <c r="E396" s="32"/>
      <c r="F396" s="32"/>
      <c r="G396" s="32"/>
      <c r="H396" s="32"/>
      <c r="I396" s="33" t="n">
        <v>35</v>
      </c>
      <c r="J396" s="33"/>
      <c r="K396" s="33" t="n">
        <v>216</v>
      </c>
      <c r="L396" s="32"/>
      <c r="M396" s="32"/>
      <c r="N396" s="32"/>
      <c r="O396" s="32"/>
    </row>
    <row r="397" customFormat="false" ht="17.85" hidden="false" customHeight="true" outlineLevel="0" collapsed="false">
      <c r="B397" s="30"/>
      <c r="C397" s="31" t="str">
        <f aca="false">HYPERLINK("http://www.emi-penza.ru/p/502/", "98.3777-01")</f>
        <v>98.3777-01</v>
      </c>
      <c r="D397" s="32" t="s">
        <v>251</v>
      </c>
      <c r="E397" s="32"/>
      <c r="F397" s="32"/>
      <c r="G397" s="32"/>
      <c r="H397" s="32"/>
      <c r="I397" s="33" t="n">
        <v>30</v>
      </c>
      <c r="J397" s="33"/>
      <c r="K397" s="33" t="n">
        <v>250</v>
      </c>
      <c r="L397" s="32"/>
      <c r="M397" s="32"/>
      <c r="N397" s="32"/>
      <c r="O397" s="32"/>
    </row>
    <row r="398" customFormat="false" ht="17.85" hidden="false" customHeight="true" outlineLevel="0" collapsed="false">
      <c r="B398" s="30"/>
      <c r="C398" s="31" t="str">
        <f aca="false">HYPERLINK("http://www.emi-penza.ru/p/538/", "982.3777-01")</f>
        <v>982.3777-01</v>
      </c>
      <c r="D398" s="32" t="s">
        <v>252</v>
      </c>
      <c r="E398" s="32"/>
      <c r="F398" s="32"/>
      <c r="G398" s="32"/>
      <c r="H398" s="32"/>
      <c r="I398" s="33" t="n">
        <v>30</v>
      </c>
      <c r="J398" s="33"/>
      <c r="K398" s="33" t="n">
        <v>250</v>
      </c>
      <c r="L398" s="32"/>
      <c r="M398" s="32"/>
      <c r="N398" s="32"/>
      <c r="O398" s="32"/>
    </row>
    <row r="399" customFormat="false" ht="17.85" hidden="false" customHeight="true" outlineLevel="0" collapsed="false">
      <c r="B399" s="30"/>
      <c r="C399" s="31" t="str">
        <f aca="false">HYPERLINK("http://www.emi-penza.ru/p/513/", "984.3777")</f>
        <v>984.3777</v>
      </c>
      <c r="D399" s="32" t="s">
        <v>253</v>
      </c>
      <c r="E399" s="32"/>
      <c r="F399" s="32"/>
      <c r="G399" s="32"/>
      <c r="H399" s="32"/>
      <c r="I399" s="33" t="n">
        <v>30</v>
      </c>
      <c r="J399" s="33"/>
      <c r="K399" s="33" t="n">
        <v>250</v>
      </c>
      <c r="L399" s="32"/>
      <c r="M399" s="32"/>
      <c r="N399" s="32"/>
      <c r="O399" s="32"/>
    </row>
    <row r="400" customFormat="false" ht="17.85" hidden="false" customHeight="true" outlineLevel="0" collapsed="false">
      <c r="B400" s="30"/>
      <c r="C400" s="54" t="str">
        <f aca="false">HYPERLINK("http://www.emi-penza.ru/p/539/", "986.3777")</f>
        <v>986.3777</v>
      </c>
      <c r="D400" s="44" t="s">
        <v>254</v>
      </c>
      <c r="E400" s="44"/>
      <c r="F400" s="44"/>
      <c r="G400" s="44"/>
      <c r="H400" s="44"/>
      <c r="I400" s="45" t="n">
        <v>30</v>
      </c>
      <c r="J400" s="45"/>
      <c r="K400" s="45" t="n">
        <v>250</v>
      </c>
      <c r="L400" s="44"/>
      <c r="M400" s="44"/>
      <c r="N400" s="44"/>
      <c r="O400" s="44"/>
    </row>
    <row r="401" customFormat="false" ht="5.1" hidden="false" customHeight="true" outlineLevel="0" collapsed="false">
      <c r="B401" s="3"/>
      <c r="K401" s="3"/>
    </row>
    <row r="402" customFormat="false" ht="17.85" hidden="false" customHeight="true" outlineLevel="0" collapsed="false">
      <c r="B402" s="30"/>
      <c r="C402" s="31" t="str">
        <f aca="false">HYPERLINK("http://www.emi-penza.ru/p/503/", "98.3777-10")</f>
        <v>98.3777-10</v>
      </c>
      <c r="D402" s="32" t="s">
        <v>255</v>
      </c>
      <c r="E402" s="32"/>
      <c r="F402" s="32"/>
      <c r="G402" s="32"/>
      <c r="H402" s="32"/>
      <c r="I402" s="33" t="n">
        <v>30</v>
      </c>
      <c r="J402" s="33"/>
      <c r="K402" s="33" t="n">
        <v>250</v>
      </c>
      <c r="L402" s="32"/>
      <c r="M402" s="32"/>
      <c r="N402" s="32"/>
      <c r="O402" s="32"/>
    </row>
    <row r="403" customFormat="false" ht="17.85" hidden="false" customHeight="true" outlineLevel="0" collapsed="false">
      <c r="B403" s="30"/>
      <c r="C403" s="31" t="str">
        <f aca="false">HYPERLINK("http://www.emi-penza.ru/p/98.3777-102", "98.3777-102")</f>
        <v>98.3777-102</v>
      </c>
      <c r="D403" s="32"/>
      <c r="E403" s="32"/>
      <c r="F403" s="32"/>
      <c r="G403" s="32"/>
      <c r="H403" s="32"/>
      <c r="I403" s="33" t="n">
        <v>34</v>
      </c>
      <c r="J403" s="33"/>
      <c r="K403" s="33" t="n">
        <v>216</v>
      </c>
      <c r="L403" s="32"/>
      <c r="M403" s="32"/>
      <c r="N403" s="32"/>
      <c r="O403" s="32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17.85" hidden="false" customHeight="true" outlineLevel="0" collapsed="false">
      <c r="B404" s="30"/>
      <c r="C404" s="31" t="str">
        <f aca="false">HYPERLINK("http://www.emi-penza.ru/p/98.3777-112", "98.3777-112")</f>
        <v>98.3777-112</v>
      </c>
      <c r="D404" s="32"/>
      <c r="E404" s="32"/>
      <c r="F404" s="32"/>
      <c r="G404" s="32"/>
      <c r="H404" s="32"/>
      <c r="I404" s="33" t="n">
        <v>33</v>
      </c>
      <c r="J404" s="33"/>
      <c r="K404" s="33" t="n">
        <v>240</v>
      </c>
      <c r="L404" s="32"/>
      <c r="M404" s="32"/>
      <c r="N404" s="32"/>
      <c r="O404" s="32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17.85" hidden="false" customHeight="true" outlineLevel="0" collapsed="false">
      <c r="B405" s="30"/>
      <c r="C405" s="31" t="str">
        <f aca="false">HYPERLINK("http://www.emi-penza.ru/p/524/", "982.3777-10")</f>
        <v>982.3777-10</v>
      </c>
      <c r="D405" s="32" t="s">
        <v>256</v>
      </c>
      <c r="E405" s="32"/>
      <c r="F405" s="32"/>
      <c r="G405" s="32"/>
      <c r="H405" s="32"/>
      <c r="I405" s="33" t="n">
        <v>30</v>
      </c>
      <c r="J405" s="33"/>
      <c r="K405" s="33" t="n">
        <v>250</v>
      </c>
      <c r="L405" s="32"/>
      <c r="M405" s="32"/>
      <c r="N405" s="32"/>
      <c r="O405" s="32"/>
    </row>
    <row r="406" customFormat="false" ht="17.85" hidden="false" customHeight="true" outlineLevel="0" collapsed="false">
      <c r="B406" s="30"/>
      <c r="C406" s="31" t="str">
        <f aca="false">HYPERLINK("http://www.emi-penza.ru/p/504/", "98.3777-11")</f>
        <v>98.3777-11</v>
      </c>
      <c r="D406" s="32" t="s">
        <v>257</v>
      </c>
      <c r="E406" s="32"/>
      <c r="F406" s="32"/>
      <c r="G406" s="32"/>
      <c r="H406" s="32"/>
      <c r="I406" s="33" t="n">
        <v>30</v>
      </c>
      <c r="J406" s="33"/>
      <c r="K406" s="33" t="n">
        <v>250</v>
      </c>
      <c r="L406" s="32"/>
      <c r="M406" s="32"/>
      <c r="N406" s="32"/>
      <c r="O406" s="32"/>
    </row>
    <row r="407" customFormat="false" ht="17.85" hidden="false" customHeight="true" outlineLevel="0" collapsed="false">
      <c r="B407" s="30"/>
      <c r="C407" s="31" t="str">
        <f aca="false">HYPERLINK("http://www.emi-penza.ru/p/525/", "982.3777-11")</f>
        <v>982.3777-11</v>
      </c>
      <c r="D407" s="32" t="s">
        <v>258</v>
      </c>
      <c r="E407" s="32"/>
      <c r="F407" s="32"/>
      <c r="G407" s="32"/>
      <c r="H407" s="32"/>
      <c r="I407" s="33" t="n">
        <v>30</v>
      </c>
      <c r="J407" s="33"/>
      <c r="K407" s="33" t="n">
        <v>250</v>
      </c>
      <c r="L407" s="32"/>
      <c r="M407" s="32"/>
      <c r="N407" s="32"/>
      <c r="O407" s="32"/>
    </row>
    <row r="408" customFormat="false" ht="17.85" hidden="false" customHeight="true" outlineLevel="0" collapsed="false">
      <c r="B408" s="30"/>
      <c r="C408" s="31" t="str">
        <f aca="false">HYPERLINK("http://www.emi-penza.ru/p/514/", "984.3777-10")</f>
        <v>984.3777-10</v>
      </c>
      <c r="D408" s="32" t="s">
        <v>259</v>
      </c>
      <c r="E408" s="32"/>
      <c r="F408" s="32"/>
      <c r="G408" s="32"/>
      <c r="H408" s="32"/>
      <c r="I408" s="33" t="n">
        <v>30</v>
      </c>
      <c r="J408" s="33"/>
      <c r="K408" s="33" t="n">
        <v>250</v>
      </c>
      <c r="L408" s="32"/>
      <c r="M408" s="32"/>
      <c r="N408" s="32"/>
      <c r="O408" s="32"/>
    </row>
    <row r="409" customFormat="false" ht="17.85" hidden="false" customHeight="true" outlineLevel="0" collapsed="false">
      <c r="B409" s="30"/>
      <c r="C409" s="54" t="str">
        <f aca="false">HYPERLINK("http://www.emi-penza.ru/p/540/", "986.3777-10")</f>
        <v>986.3777-10</v>
      </c>
      <c r="D409" s="44" t="s">
        <v>260</v>
      </c>
      <c r="E409" s="44"/>
      <c r="F409" s="44"/>
      <c r="G409" s="44"/>
      <c r="H409" s="44"/>
      <c r="I409" s="45" t="n">
        <v>30</v>
      </c>
      <c r="J409" s="45"/>
      <c r="K409" s="45" t="n">
        <v>250</v>
      </c>
      <c r="L409" s="44"/>
      <c r="M409" s="44"/>
      <c r="N409" s="44"/>
      <c r="O409" s="44"/>
    </row>
    <row r="410" customFormat="false" ht="5.1" hidden="false" customHeight="true" outlineLevel="0" collapsed="false">
      <c r="B410" s="3"/>
      <c r="K410" s="3"/>
    </row>
    <row r="411" customFormat="false" ht="17.85" hidden="false" customHeight="true" outlineLevel="0" collapsed="false">
      <c r="B411" s="30"/>
      <c r="C411" s="31" t="str">
        <f aca="false">HYPERLINK("http://www.emi-penza.ru/p/507/", "981.3777")</f>
        <v>981.3777</v>
      </c>
      <c r="D411" s="32" t="s">
        <v>261</v>
      </c>
      <c r="E411" s="32"/>
      <c r="F411" s="32"/>
      <c r="G411" s="32"/>
      <c r="H411" s="32"/>
      <c r="I411" s="33" t="n">
        <v>30</v>
      </c>
      <c r="J411" s="33"/>
      <c r="K411" s="33" t="n">
        <v>250</v>
      </c>
      <c r="L411" s="32"/>
      <c r="M411" s="32"/>
      <c r="N411" s="32"/>
      <c r="O411" s="32"/>
    </row>
    <row r="412" customFormat="false" ht="17.85" hidden="false" customHeight="true" outlineLevel="0" collapsed="false">
      <c r="B412" s="30"/>
      <c r="C412" s="31" t="str">
        <f aca="false">HYPERLINK("http://www.emi-penza.ru/p/560/", "981.3777-001")</f>
        <v>981.3777-001</v>
      </c>
      <c r="D412" s="32" t="s">
        <v>262</v>
      </c>
      <c r="E412" s="32"/>
      <c r="F412" s="32"/>
      <c r="G412" s="32"/>
      <c r="H412" s="32"/>
      <c r="I412" s="33" t="n">
        <v>35</v>
      </c>
      <c r="J412" s="33"/>
      <c r="K412" s="33" t="n">
        <v>216</v>
      </c>
      <c r="L412" s="32"/>
      <c r="M412" s="32"/>
      <c r="N412" s="32"/>
      <c r="O412" s="32"/>
    </row>
    <row r="413" customFormat="false" ht="17.85" hidden="false" customHeight="true" outlineLevel="0" collapsed="false">
      <c r="B413" s="30"/>
      <c r="C413" s="31" t="str">
        <f aca="false">HYPERLINK("http://www.emi-penza.ru/p/981.3777-002", "981.3777-002")</f>
        <v>981.3777-002</v>
      </c>
      <c r="D413" s="32"/>
      <c r="E413" s="32"/>
      <c r="F413" s="32"/>
      <c r="G413" s="32"/>
      <c r="H413" s="32"/>
      <c r="I413" s="33" t="n">
        <v>34</v>
      </c>
      <c r="J413" s="33"/>
      <c r="K413" s="33" t="n">
        <v>216</v>
      </c>
      <c r="L413" s="32"/>
      <c r="M413" s="32"/>
      <c r="N413" s="32"/>
      <c r="O413" s="32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customFormat="false" ht="17.85" hidden="false" customHeight="true" outlineLevel="0" collapsed="false">
      <c r="B414" s="30"/>
      <c r="C414" s="31" t="str">
        <f aca="false">HYPERLINK("http://www.emi-penza.ru/p/981.3777-012", "981.3777-012")</f>
        <v>981.3777-012</v>
      </c>
      <c r="D414" s="32"/>
      <c r="E414" s="32"/>
      <c r="F414" s="32"/>
      <c r="G414" s="32"/>
      <c r="H414" s="32"/>
      <c r="I414" s="33" t="n">
        <v>33</v>
      </c>
      <c r="J414" s="33"/>
      <c r="K414" s="33" t="n">
        <v>240</v>
      </c>
      <c r="L414" s="32"/>
      <c r="M414" s="32"/>
      <c r="N414" s="32"/>
      <c r="O414" s="32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customFormat="false" ht="17.85" hidden="false" customHeight="true" outlineLevel="0" collapsed="false">
      <c r="B415" s="30"/>
      <c r="C415" s="31" t="str">
        <f aca="false">HYPERLINK("http://www.emi-penza.ru/p/541/", "983.3777")</f>
        <v>983.3777</v>
      </c>
      <c r="D415" s="32" t="s">
        <v>263</v>
      </c>
      <c r="E415" s="32"/>
      <c r="F415" s="32"/>
      <c r="G415" s="32"/>
      <c r="H415" s="32"/>
      <c r="I415" s="33" t="n">
        <v>30</v>
      </c>
      <c r="J415" s="33"/>
      <c r="K415" s="33" t="n">
        <v>250</v>
      </c>
      <c r="L415" s="32"/>
      <c r="M415" s="32"/>
      <c r="N415" s="32"/>
      <c r="O415" s="32"/>
    </row>
    <row r="416" customFormat="false" ht="17.85" hidden="false" customHeight="true" outlineLevel="0" collapsed="false">
      <c r="B416" s="30"/>
      <c r="C416" s="31" t="str">
        <f aca="false">HYPERLINK("http://www.emi-penza.ru/p/508/", "981.3777-01")</f>
        <v>981.3777-01</v>
      </c>
      <c r="D416" s="32" t="s">
        <v>264</v>
      </c>
      <c r="E416" s="32"/>
      <c r="F416" s="32"/>
      <c r="G416" s="32"/>
      <c r="H416" s="32"/>
      <c r="I416" s="33" t="n">
        <v>30</v>
      </c>
      <c r="J416" s="33"/>
      <c r="K416" s="33" t="n">
        <v>250</v>
      </c>
      <c r="L416" s="32"/>
      <c r="M416" s="32"/>
      <c r="N416" s="32"/>
      <c r="O416" s="32"/>
    </row>
    <row r="417" customFormat="false" ht="17.85" hidden="false" customHeight="true" outlineLevel="0" collapsed="false">
      <c r="B417" s="30"/>
      <c r="C417" s="31" t="str">
        <f aca="false">HYPERLINK("http://www.emi-penza.ru/p/542/", "983.3777-01")</f>
        <v>983.3777-01</v>
      </c>
      <c r="D417" s="32" t="s">
        <v>265</v>
      </c>
      <c r="E417" s="32"/>
      <c r="F417" s="32"/>
      <c r="G417" s="32"/>
      <c r="H417" s="32"/>
      <c r="I417" s="33" t="n">
        <v>30</v>
      </c>
      <c r="J417" s="33"/>
      <c r="K417" s="33" t="n">
        <v>250</v>
      </c>
      <c r="L417" s="32"/>
      <c r="M417" s="32"/>
      <c r="N417" s="32"/>
      <c r="O417" s="32"/>
    </row>
    <row r="418" customFormat="false" ht="17.85" hidden="false" customHeight="true" outlineLevel="0" collapsed="false">
      <c r="B418" s="30"/>
      <c r="C418" s="31" t="str">
        <f aca="false">HYPERLINK("http://www.emi-penza.ru/p/516/", "985.3777")</f>
        <v>985.3777</v>
      </c>
      <c r="D418" s="32" t="s">
        <v>266</v>
      </c>
      <c r="E418" s="32"/>
      <c r="F418" s="32"/>
      <c r="G418" s="32"/>
      <c r="H418" s="32"/>
      <c r="I418" s="33" t="n">
        <v>30</v>
      </c>
      <c r="J418" s="33"/>
      <c r="K418" s="33" t="n">
        <v>250</v>
      </c>
      <c r="L418" s="32"/>
      <c r="M418" s="32"/>
      <c r="N418" s="32"/>
      <c r="O418" s="32"/>
    </row>
    <row r="419" customFormat="false" ht="17.85" hidden="false" customHeight="true" outlineLevel="0" collapsed="false">
      <c r="B419" s="30"/>
      <c r="C419" s="54" t="str">
        <f aca="false">HYPERLINK("http://www.emi-penza.ru/p/543/", "987.3777")</f>
        <v>987.3777</v>
      </c>
      <c r="D419" s="44" t="s">
        <v>267</v>
      </c>
      <c r="E419" s="44"/>
      <c r="F419" s="44"/>
      <c r="G419" s="44"/>
      <c r="H419" s="44"/>
      <c r="I419" s="45" t="n">
        <v>30</v>
      </c>
      <c r="J419" s="45"/>
      <c r="K419" s="45" t="n">
        <v>250</v>
      </c>
      <c r="L419" s="44"/>
      <c r="M419" s="44"/>
      <c r="N419" s="44"/>
      <c r="O419" s="44"/>
    </row>
    <row r="420" customFormat="false" ht="5.1" hidden="false" customHeight="true" outlineLevel="0" collapsed="false">
      <c r="B420" s="3"/>
      <c r="K420" s="3"/>
    </row>
    <row r="421" customFormat="false" ht="17.85" hidden="false" customHeight="true" outlineLevel="0" collapsed="false">
      <c r="B421" s="30"/>
      <c r="C421" s="31" t="str">
        <f aca="false">HYPERLINK("http://www.emi-penza.ru/p/509/", "981.3777-10")</f>
        <v>981.3777-10</v>
      </c>
      <c r="D421" s="32" t="s">
        <v>268</v>
      </c>
      <c r="E421" s="32"/>
      <c r="F421" s="32"/>
      <c r="G421" s="32"/>
      <c r="H421" s="32"/>
      <c r="I421" s="33" t="n">
        <v>30</v>
      </c>
      <c r="J421" s="33"/>
      <c r="K421" s="33" t="n">
        <v>250</v>
      </c>
      <c r="L421" s="32"/>
      <c r="M421" s="32"/>
      <c r="N421" s="32"/>
      <c r="O421" s="32"/>
    </row>
    <row r="422" customFormat="false" ht="17.85" hidden="false" customHeight="true" outlineLevel="0" collapsed="false">
      <c r="B422" s="30"/>
      <c r="C422" s="31" t="str">
        <f aca="false">HYPERLINK("http://www.emi-penza.ru/p/981.3777-102", "981.3777-102")</f>
        <v>981.3777-102</v>
      </c>
      <c r="D422" s="32"/>
      <c r="E422" s="32"/>
      <c r="F422" s="32"/>
      <c r="G422" s="32"/>
      <c r="H422" s="32"/>
      <c r="I422" s="33" t="n">
        <v>34</v>
      </c>
      <c r="J422" s="33"/>
      <c r="K422" s="33" t="n">
        <v>216</v>
      </c>
      <c r="L422" s="32"/>
      <c r="M422" s="32"/>
      <c r="N422" s="32"/>
      <c r="O422" s="32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customFormat="false" ht="17.85" hidden="false" customHeight="true" outlineLevel="0" collapsed="false">
      <c r="B423" s="30"/>
      <c r="C423" s="31" t="str">
        <f aca="false">HYPERLINK("http://www.emi-penza.ru/p/981.3777-112", "981.3777-112")</f>
        <v>981.3777-112</v>
      </c>
      <c r="D423" s="32"/>
      <c r="E423" s="32"/>
      <c r="F423" s="32"/>
      <c r="G423" s="32"/>
      <c r="H423" s="32"/>
      <c r="I423" s="33" t="n">
        <v>33</v>
      </c>
      <c r="J423" s="33"/>
      <c r="K423" s="33" t="n">
        <v>240</v>
      </c>
      <c r="L423" s="32"/>
      <c r="M423" s="32"/>
      <c r="N423" s="32"/>
      <c r="O423" s="32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customFormat="false" ht="17.85" hidden="false" customHeight="true" outlineLevel="0" collapsed="false">
      <c r="B424" s="30"/>
      <c r="C424" s="31" t="str">
        <f aca="false">HYPERLINK("http://www.emi-penza.ru/p/544/", "983.3777-10")</f>
        <v>983.3777-10</v>
      </c>
      <c r="D424" s="32" t="s">
        <v>269</v>
      </c>
      <c r="E424" s="32"/>
      <c r="F424" s="32"/>
      <c r="G424" s="32"/>
      <c r="H424" s="32"/>
      <c r="I424" s="33" t="n">
        <v>30</v>
      </c>
      <c r="J424" s="33"/>
      <c r="K424" s="33" t="n">
        <v>250</v>
      </c>
      <c r="L424" s="32"/>
      <c r="M424" s="32"/>
      <c r="N424" s="32"/>
      <c r="O424" s="32"/>
    </row>
    <row r="425" customFormat="false" ht="17.85" hidden="false" customHeight="true" outlineLevel="0" collapsed="false">
      <c r="B425" s="30"/>
      <c r="C425" s="31" t="str">
        <f aca="false">HYPERLINK("http://www.emi-penza.ru/p/510/", "981.3777-11")</f>
        <v>981.3777-11</v>
      </c>
      <c r="D425" s="32" t="s">
        <v>270</v>
      </c>
      <c r="E425" s="32"/>
      <c r="F425" s="32"/>
      <c r="G425" s="32"/>
      <c r="H425" s="32"/>
      <c r="I425" s="33" t="n">
        <v>30</v>
      </c>
      <c r="J425" s="33"/>
      <c r="K425" s="33" t="n">
        <v>250</v>
      </c>
      <c r="L425" s="32"/>
      <c r="M425" s="32"/>
      <c r="N425" s="32"/>
      <c r="O425" s="32"/>
    </row>
    <row r="426" customFormat="false" ht="17.85" hidden="false" customHeight="true" outlineLevel="0" collapsed="false">
      <c r="B426" s="30"/>
      <c r="C426" s="31" t="str">
        <f aca="false">HYPERLINK("http://www.emi-penza.ru/p/545/", "983.3777-11")</f>
        <v>983.3777-11</v>
      </c>
      <c r="D426" s="32" t="s">
        <v>271</v>
      </c>
      <c r="E426" s="32"/>
      <c r="F426" s="32"/>
      <c r="G426" s="32"/>
      <c r="H426" s="32"/>
      <c r="I426" s="33" t="n">
        <v>30</v>
      </c>
      <c r="J426" s="33"/>
      <c r="K426" s="33" t="n">
        <v>250</v>
      </c>
      <c r="L426" s="32"/>
      <c r="M426" s="32"/>
      <c r="N426" s="32"/>
      <c r="O426" s="32"/>
    </row>
    <row r="427" customFormat="false" ht="17.85" hidden="false" customHeight="true" outlineLevel="0" collapsed="false">
      <c r="B427" s="30"/>
      <c r="C427" s="31" t="str">
        <f aca="false">HYPERLINK("http://www.emi-penza.ru/p/517/", "985.3777-10")</f>
        <v>985.3777-10</v>
      </c>
      <c r="D427" s="32" t="s">
        <v>272</v>
      </c>
      <c r="E427" s="32"/>
      <c r="F427" s="32"/>
      <c r="G427" s="32"/>
      <c r="H427" s="32"/>
      <c r="I427" s="33" t="n">
        <v>30</v>
      </c>
      <c r="J427" s="33"/>
      <c r="K427" s="33" t="n">
        <v>250</v>
      </c>
      <c r="L427" s="32"/>
      <c r="M427" s="32"/>
      <c r="N427" s="32"/>
      <c r="O427" s="32"/>
    </row>
    <row r="428" customFormat="false" ht="17.85" hidden="false" customHeight="true" outlineLevel="0" collapsed="false">
      <c r="B428" s="30"/>
      <c r="C428" s="54" t="str">
        <f aca="false">HYPERLINK("http://www.emi-penza.ru/p/546/", "987.3777-10")</f>
        <v>987.3777-10</v>
      </c>
      <c r="D428" s="44" t="s">
        <v>273</v>
      </c>
      <c r="E428" s="44"/>
      <c r="F428" s="44"/>
      <c r="G428" s="44"/>
      <c r="H428" s="44"/>
      <c r="I428" s="45" t="n">
        <v>30</v>
      </c>
      <c r="J428" s="45"/>
      <c r="K428" s="45" t="n">
        <v>250</v>
      </c>
      <c r="L428" s="44"/>
      <c r="M428" s="44"/>
      <c r="N428" s="44"/>
      <c r="O428" s="44"/>
    </row>
    <row r="429" customFormat="false" ht="5.1" hidden="false" customHeight="true" outlineLevel="0" collapsed="false">
      <c r="B429" s="3"/>
    </row>
    <row r="430" customFormat="false" ht="11.35" hidden="false" customHeight="true" outlineLevel="0" collapsed="false">
      <c r="B430" s="30"/>
      <c r="C430" s="73" t="s">
        <v>274</v>
      </c>
      <c r="D430" s="74" t="s">
        <v>275</v>
      </c>
      <c r="E430" s="74"/>
      <c r="F430" s="74"/>
      <c r="G430" s="52"/>
      <c r="H430" s="52"/>
      <c r="I430" s="53"/>
      <c r="J430" s="53"/>
      <c r="K430" s="52"/>
      <c r="L430" s="52"/>
      <c r="M430" s="52"/>
      <c r="N430" s="52"/>
      <c r="O430" s="52"/>
    </row>
    <row r="431" customFormat="false" ht="11.35" hidden="false" customHeight="true" outlineLevel="0" collapsed="false">
      <c r="B431" s="30"/>
      <c r="C431" s="75" t="s">
        <v>276</v>
      </c>
      <c r="D431" s="76" t="s">
        <v>277</v>
      </c>
      <c r="E431" s="76"/>
      <c r="F431" s="76"/>
      <c r="G431" s="77" t="str">
        <f aca="false">HYPERLINK("https://www.emi-penza.ru/-/документы/продукция/завод_ЭМИ_все_реле.pdf", "Полный список серийно выпускаемых универсальных реле насчитывает 263 модификации.")</f>
        <v>Полный список серийно выпускаемых универсальных реле насчитывает 263 модификации.</v>
      </c>
      <c r="H431" s="52"/>
      <c r="I431" s="53"/>
      <c r="J431" s="53"/>
      <c r="K431" s="52"/>
      <c r="L431" s="52"/>
      <c r="M431" s="52"/>
      <c r="N431" s="78" t="s">
        <v>278</v>
      </c>
      <c r="O431" s="78"/>
    </row>
    <row r="432" customFormat="false" ht="11.35" hidden="false" customHeight="true" outlineLevel="0" collapsed="false">
      <c r="B432" s="30"/>
      <c r="C432" s="79" t="s">
        <v>279</v>
      </c>
      <c r="D432" s="80" t="s">
        <v>280</v>
      </c>
      <c r="E432" s="80"/>
      <c r="F432" s="80"/>
      <c r="G432" s="77" t="str">
        <f aca="false">HYPERLINK("https://www.emi-penza.ru/-/документы/продукция/завод_ЭМИ_все_реле.pdf", "Их перечень есть на нашем сайте.")</f>
        <v>Их перечень есть на нашем сайте.</v>
      </c>
      <c r="H432" s="52"/>
      <c r="I432" s="53"/>
      <c r="J432" s="53"/>
      <c r="K432" s="52"/>
      <c r="L432" s="52"/>
      <c r="M432" s="52"/>
      <c r="N432" s="52"/>
      <c r="O432" s="52"/>
    </row>
    <row r="433" customFormat="false" ht="11.35" hidden="false" customHeight="true" outlineLevel="0" collapsed="false">
      <c r="B433" s="30"/>
      <c r="C433" s="81" t="s">
        <v>281</v>
      </c>
      <c r="D433" s="82" t="s">
        <v>282</v>
      </c>
      <c r="E433" s="82"/>
      <c r="F433" s="82"/>
      <c r="G433" s="52"/>
      <c r="H433" s="52"/>
      <c r="I433" s="53"/>
      <c r="J433" s="53"/>
      <c r="K433" s="52"/>
      <c r="L433" s="52"/>
      <c r="M433" s="52"/>
      <c r="N433" s="52"/>
      <c r="O433" s="52"/>
    </row>
    <row r="434" customFormat="false" ht="9.95" hidden="false" customHeight="true" outlineLevel="0" collapsed="false">
      <c r="B434" s="3"/>
    </row>
    <row r="435" customFormat="false" ht="22.7" hidden="false" customHeight="true" outlineLevel="0" collapsed="false">
      <c r="B435" s="3"/>
      <c r="C435" s="28" t="s">
        <v>283</v>
      </c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</row>
    <row r="436" customFormat="false" ht="2.85" hidden="false" customHeight="true" outlineLevel="0" collapsed="false">
      <c r="B436" s="3"/>
    </row>
    <row r="437" customFormat="false" ht="17.85" hidden="false" customHeight="true" outlineLevel="0" collapsed="false">
      <c r="B437" s="30"/>
      <c r="C437" s="83" t="str">
        <f aca="false">HYPERLINK("http://www.emi-penza.ru/p/46.3787-32-368-A-24", "46.3787-32-368-A-24")</f>
        <v>46.3787-32-368-A-24</v>
      </c>
      <c r="D437" s="32"/>
      <c r="E437" s="32" t="s">
        <v>284</v>
      </c>
      <c r="F437" s="32"/>
      <c r="G437" s="32"/>
      <c r="H437" s="32"/>
      <c r="I437" s="84" t="n">
        <v>35</v>
      </c>
      <c r="J437" s="33"/>
      <c r="K437" s="32" t="n">
        <v>240</v>
      </c>
      <c r="L437" s="32"/>
      <c r="M437" s="32"/>
      <c r="N437" s="32"/>
      <c r="O437" s="32"/>
    </row>
    <row r="438" customFormat="false" ht="17.85" hidden="false" customHeight="true" outlineLevel="0" collapsed="false">
      <c r="B438" s="30"/>
      <c r="C438" s="83" t="str">
        <f aca="false">HYPERLINK("http://www.emi-penza.ru/p/46.3787-32-368-A-24-R", "46.3787-32-368-A-24-R")</f>
        <v>46.3787-32-368-A-24-R</v>
      </c>
      <c r="D438" s="32"/>
      <c r="E438" s="32" t="s">
        <v>285</v>
      </c>
      <c r="F438" s="32"/>
      <c r="G438" s="32"/>
      <c r="H438" s="32"/>
      <c r="I438" s="84" t="n">
        <v>35</v>
      </c>
      <c r="J438" s="33"/>
      <c r="K438" s="32" t="n">
        <v>240</v>
      </c>
      <c r="L438" s="32"/>
      <c r="M438" s="32"/>
      <c r="N438" s="32"/>
      <c r="O438" s="32"/>
    </row>
    <row r="439" customFormat="false" ht="17.85" hidden="false" customHeight="true" outlineLevel="0" collapsed="false">
      <c r="B439" s="30"/>
      <c r="C439" s="83" t="str">
        <f aca="false">HYPERLINK("http://www.emi-penza.ru/p/64.3787-398-A-24", "64.3787-398-A-24")</f>
        <v>64.3787-398-A-24</v>
      </c>
      <c r="D439" s="32"/>
      <c r="E439" s="32" t="s">
        <v>286</v>
      </c>
      <c r="F439" s="32"/>
      <c r="G439" s="32"/>
      <c r="H439" s="32"/>
      <c r="I439" s="84" t="n">
        <v>13</v>
      </c>
      <c r="J439" s="33"/>
      <c r="K439" s="33" t="n">
        <v>572</v>
      </c>
      <c r="L439" s="32"/>
      <c r="M439" s="32"/>
      <c r="N439" s="32"/>
      <c r="O439" s="32" t="n">
        <v>200</v>
      </c>
    </row>
    <row r="440" customFormat="false" ht="17.85" hidden="false" customHeight="true" outlineLevel="0" collapsed="false">
      <c r="B440" s="30"/>
      <c r="C440" s="83" t="str">
        <f aca="false">HYPERLINK("http://www.emi-penza.ru/p/64.3787-398-A-24-R", "64.3787-398-A-24-R")</f>
        <v>64.3787-398-A-24-R</v>
      </c>
      <c r="D440" s="32"/>
      <c r="E440" s="32" t="s">
        <v>287</v>
      </c>
      <c r="F440" s="32"/>
      <c r="G440" s="32"/>
      <c r="H440" s="32"/>
      <c r="I440" s="84" t="n">
        <v>13</v>
      </c>
      <c r="J440" s="33"/>
      <c r="K440" s="33" t="n">
        <v>572</v>
      </c>
      <c r="L440" s="32"/>
      <c r="M440" s="32"/>
      <c r="N440" s="32"/>
      <c r="O440" s="32" t="n">
        <v>200</v>
      </c>
    </row>
    <row r="441" customFormat="false" ht="17.85" hidden="false" customHeight="true" outlineLevel="0" collapsed="false">
      <c r="B441" s="30"/>
      <c r="C441" s="83" t="str">
        <f aca="false">HYPERLINK("http://www.emi-penza.ru/p/64.3787-398-C-12-R", "64.3787-398-C-12-R")</f>
        <v>64.3787-398-C-12-R</v>
      </c>
      <c r="D441" s="32"/>
      <c r="E441" s="32" t="s">
        <v>288</v>
      </c>
      <c r="F441" s="32"/>
      <c r="G441" s="32"/>
      <c r="H441" s="32"/>
      <c r="I441" s="84" t="n">
        <v>13</v>
      </c>
      <c r="J441" s="33"/>
      <c r="K441" s="33" t="n">
        <v>572</v>
      </c>
      <c r="L441" s="32"/>
      <c r="M441" s="32"/>
      <c r="N441" s="32"/>
      <c r="O441" s="32" t="n">
        <v>200</v>
      </c>
    </row>
    <row r="442" customFormat="false" ht="17.85" hidden="false" customHeight="true" outlineLevel="0" collapsed="false">
      <c r="B442" s="30"/>
      <c r="C442" s="83" t="str">
        <f aca="false">HYPERLINK("http://www.emi-penza.ru/p/64.3787-398-C-24", "64.3787-398-C-24")</f>
        <v>64.3787-398-C-24</v>
      </c>
      <c r="D442" s="32"/>
      <c r="E442" s="32" t="s">
        <v>289</v>
      </c>
      <c r="F442" s="32"/>
      <c r="G442" s="32"/>
      <c r="H442" s="32"/>
      <c r="I442" s="84" t="n">
        <v>13</v>
      </c>
      <c r="J442" s="33"/>
      <c r="K442" s="33" t="n">
        <v>572</v>
      </c>
      <c r="L442" s="32"/>
      <c r="M442" s="32"/>
      <c r="N442" s="32"/>
      <c r="O442" s="32" t="n">
        <v>200</v>
      </c>
    </row>
    <row r="443" customFormat="false" ht="17.85" hidden="false" customHeight="true" outlineLevel="0" collapsed="false">
      <c r="B443" s="30"/>
      <c r="C443" s="83" t="str">
        <f aca="false">HYPERLINK("http://www.emi-penza.ru/p/64.3787-398-C-24-R", "64.3787-398-C-24-R")</f>
        <v>64.3787-398-C-24-R</v>
      </c>
      <c r="D443" s="32"/>
      <c r="E443" s="32" t="s">
        <v>290</v>
      </c>
      <c r="F443" s="32"/>
      <c r="G443" s="32"/>
      <c r="H443" s="32"/>
      <c r="I443" s="84" t="n">
        <v>13</v>
      </c>
      <c r="J443" s="33"/>
      <c r="K443" s="33" t="n">
        <v>572</v>
      </c>
      <c r="L443" s="32"/>
      <c r="M443" s="32"/>
      <c r="N443" s="32"/>
      <c r="O443" s="32" t="n">
        <v>200</v>
      </c>
    </row>
    <row r="444" customFormat="false" ht="17.85" hidden="false" customHeight="true" outlineLevel="0" collapsed="false">
      <c r="B444" s="30"/>
      <c r="C444" s="83" t="str">
        <f aca="false">HYPERLINK("http://www.emi-penza.ru/p/67.3787-309-A-24-R", "67.3787-309-A-24-R")</f>
        <v>67.3787-309-A-24-R</v>
      </c>
      <c r="D444" s="32"/>
      <c r="E444" s="32" t="s">
        <v>291</v>
      </c>
      <c r="F444" s="32"/>
      <c r="G444" s="32"/>
      <c r="H444" s="32"/>
      <c r="I444" s="84" t="n">
        <v>33</v>
      </c>
      <c r="J444" s="33"/>
      <c r="K444" s="33" t="n">
        <v>240</v>
      </c>
      <c r="L444" s="32"/>
      <c r="M444" s="32"/>
      <c r="N444" s="32"/>
      <c r="O444" s="32"/>
    </row>
    <row r="445" customFormat="false" ht="17.85" hidden="false" customHeight="true" outlineLevel="0" collapsed="false">
      <c r="B445" s="30"/>
      <c r="C445" s="83" t="str">
        <f aca="false">HYPERLINK("http://www.emi-penza.ru/p/67.3787-309-C-24", "67.3787-309-C-24")</f>
        <v>67.3787-309-C-24</v>
      </c>
      <c r="D445" s="32"/>
      <c r="E445" s="32" t="s">
        <v>292</v>
      </c>
      <c r="F445" s="32"/>
      <c r="G445" s="32"/>
      <c r="H445" s="32"/>
      <c r="I445" s="84" t="n">
        <v>33</v>
      </c>
      <c r="J445" s="33"/>
      <c r="K445" s="33" t="n">
        <v>240</v>
      </c>
      <c r="L445" s="32"/>
      <c r="M445" s="32"/>
      <c r="N445" s="32"/>
      <c r="O445" s="32"/>
    </row>
    <row r="446" customFormat="false" ht="17.85" hidden="false" customHeight="true" outlineLevel="0" collapsed="false">
      <c r="B446" s="30"/>
      <c r="C446" s="83" t="str">
        <f aca="false">HYPERLINK("http://www.emi-penza.ru/p/67.3787-309-C-24-R", "67.3787-309-C-24-R")</f>
        <v>67.3787-309-C-24-R</v>
      </c>
      <c r="D446" s="32"/>
      <c r="E446" s="32" t="s">
        <v>293</v>
      </c>
      <c r="F446" s="32"/>
      <c r="G446" s="32"/>
      <c r="H446" s="32"/>
      <c r="I446" s="84" t="n">
        <v>33</v>
      </c>
      <c r="J446" s="33"/>
      <c r="K446" s="33" t="n">
        <v>240</v>
      </c>
      <c r="L446" s="32"/>
      <c r="M446" s="32"/>
      <c r="N446" s="32"/>
      <c r="O446" s="32"/>
    </row>
    <row r="447" customFormat="false" ht="17.85" hidden="false" customHeight="true" outlineLevel="0" collapsed="false">
      <c r="B447" s="30"/>
      <c r="C447" s="83" t="str">
        <f aca="false">HYPERLINK("http://www.emi-penza.ru/p/98.3777-314-A-24", "98.3777-314-A-24")</f>
        <v>98.3777-314-A-24</v>
      </c>
      <c r="D447" s="32"/>
      <c r="E447" s="32" t="s">
        <v>294</v>
      </c>
      <c r="F447" s="32"/>
      <c r="G447" s="32"/>
      <c r="H447" s="32"/>
      <c r="I447" s="84" t="n">
        <v>33</v>
      </c>
      <c r="J447" s="33"/>
      <c r="K447" s="33" t="n">
        <v>240</v>
      </c>
      <c r="L447" s="32"/>
      <c r="M447" s="32"/>
      <c r="N447" s="32"/>
      <c r="O447" s="32"/>
    </row>
    <row r="448" customFormat="false" ht="17.85" hidden="false" customHeight="true" outlineLevel="0" collapsed="false">
      <c r="B448" s="30"/>
      <c r="C448" s="83" t="str">
        <f aca="false">HYPERLINK("http://www.emi-penza.ru/p/98.3777-314-A-24-D", "98.3777-314-A-24-D")</f>
        <v>98.3777-314-A-24-D</v>
      </c>
      <c r="D448" s="32"/>
      <c r="E448" s="32" t="s">
        <v>295</v>
      </c>
      <c r="F448" s="32"/>
      <c r="G448" s="32"/>
      <c r="H448" s="32"/>
      <c r="I448" s="84" t="n">
        <v>33</v>
      </c>
      <c r="J448" s="33"/>
      <c r="K448" s="33" t="n">
        <v>240</v>
      </c>
      <c r="L448" s="32"/>
      <c r="M448" s="32"/>
      <c r="N448" s="32"/>
      <c r="O448" s="32"/>
    </row>
    <row r="449" customFormat="false" ht="17.85" hidden="false" customHeight="true" outlineLevel="0" collapsed="false">
      <c r="B449" s="30"/>
      <c r="C449" s="83" t="str">
        <f aca="false">HYPERLINK("http://www.emi-penza.ru/p/98.3777-314-C-24", "98.3777-314-C-24")</f>
        <v>98.3777-314-C-24</v>
      </c>
      <c r="D449" s="32"/>
      <c r="E449" s="32" t="s">
        <v>296</v>
      </c>
      <c r="F449" s="32"/>
      <c r="G449" s="32"/>
      <c r="H449" s="32"/>
      <c r="I449" s="84" t="n">
        <v>33</v>
      </c>
      <c r="J449" s="33"/>
      <c r="K449" s="33" t="n">
        <v>240</v>
      </c>
      <c r="L449" s="32"/>
      <c r="M449" s="32"/>
      <c r="N449" s="32"/>
      <c r="O449" s="32"/>
    </row>
    <row r="450" customFormat="false" ht="17.85" hidden="false" customHeight="true" outlineLevel="0" collapsed="false">
      <c r="B450" s="30"/>
      <c r="C450" s="83" t="str">
        <f aca="false">HYPERLINK("http://www.emi-penza.ru/p/98.3777-314-C-24-D", "98.3777-314-C-24-D")</f>
        <v>98.3777-314-C-24-D</v>
      </c>
      <c r="D450" s="32"/>
      <c r="E450" s="32" t="s">
        <v>297</v>
      </c>
      <c r="F450" s="32"/>
      <c r="G450" s="32"/>
      <c r="H450" s="32"/>
      <c r="I450" s="84" t="n">
        <v>33</v>
      </c>
      <c r="J450" s="33"/>
      <c r="K450" s="33" t="n">
        <v>240</v>
      </c>
      <c r="L450" s="32"/>
      <c r="M450" s="32"/>
      <c r="N450" s="32"/>
      <c r="O450" s="32"/>
    </row>
    <row r="451" customFormat="false" ht="17.85" hidden="false" customHeight="true" outlineLevel="0" collapsed="false">
      <c r="B451" s="30"/>
      <c r="C451" s="83" t="str">
        <f aca="false">HYPERLINK("http://www.emi-penza.ru/p/98.3777-314-C-24-R", "98.3777-314-C-24-R")</f>
        <v>98.3777-314-C-24-R</v>
      </c>
      <c r="D451" s="32"/>
      <c r="E451" s="32" t="s">
        <v>298</v>
      </c>
      <c r="F451" s="32"/>
      <c r="G451" s="32"/>
      <c r="H451" s="32"/>
      <c r="I451" s="84" t="n">
        <v>33</v>
      </c>
      <c r="J451" s="33"/>
      <c r="K451" s="33" t="n">
        <v>240</v>
      </c>
      <c r="L451" s="32"/>
      <c r="M451" s="32"/>
      <c r="N451" s="32"/>
      <c r="O451" s="32"/>
    </row>
    <row r="452" customFormat="false" ht="17.85" hidden="false" customHeight="true" outlineLevel="0" collapsed="false">
      <c r="B452" s="30"/>
      <c r="C452" s="83" t="str">
        <f aca="false">HYPERLINK("http://www.emi-penza.ru/p/98.3777-315-C-12", "98.3777-315-C-12")</f>
        <v>98.3777-315-C-12</v>
      </c>
      <c r="D452" s="32"/>
      <c r="E452" s="32" t="s">
        <v>299</v>
      </c>
      <c r="F452" s="32"/>
      <c r="G452" s="32"/>
      <c r="H452" s="32"/>
      <c r="I452" s="84" t="n">
        <v>33</v>
      </c>
      <c r="J452" s="33"/>
      <c r="K452" s="33" t="n">
        <v>240</v>
      </c>
      <c r="L452" s="32"/>
      <c r="M452" s="32"/>
      <c r="N452" s="32"/>
      <c r="O452" s="32"/>
    </row>
    <row r="453" customFormat="false" ht="17.85" hidden="false" customHeight="true" outlineLevel="0" collapsed="false">
      <c r="B453" s="30"/>
      <c r="C453" s="85" t="str">
        <f aca="false">HYPERLINK("http://www.emi-penza.ru/p/98.3777-315-C-24", "98.3777-315-C-24")</f>
        <v>98.3777-315-C-24</v>
      </c>
      <c r="D453" s="44"/>
      <c r="E453" s="44" t="s">
        <v>300</v>
      </c>
      <c r="F453" s="44"/>
      <c r="G453" s="44"/>
      <c r="H453" s="44"/>
      <c r="I453" s="86" t="n">
        <v>33</v>
      </c>
      <c r="J453" s="45"/>
      <c r="K453" s="45" t="n">
        <v>240</v>
      </c>
      <c r="L453" s="44"/>
      <c r="M453" s="44"/>
      <c r="N453" s="44"/>
      <c r="O453" s="44"/>
    </row>
    <row r="454" customFormat="false" ht="9.95" hidden="false" customHeight="true" outlineLevel="0" collapsed="false">
      <c r="B454" s="3"/>
    </row>
    <row r="455" customFormat="false" ht="22.7" hidden="false" customHeight="true" outlineLevel="0" collapsed="false">
      <c r="B455" s="3"/>
      <c r="C455" s="28" t="s">
        <v>301</v>
      </c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</row>
    <row r="456" customFormat="false" ht="2.85" hidden="false" customHeight="true" outlineLevel="0" collapsed="false">
      <c r="B456" s="3"/>
    </row>
    <row r="457" customFormat="false" ht="17.85" hidden="false" customHeight="true" outlineLevel="0" collapsed="false">
      <c r="B457" s="30"/>
      <c r="C457" s="31" t="str">
        <f aca="false">HYPERLINK("http://www.emi-penza.ru/p/601/", "ЭМИ 113.3.000")</f>
        <v>ЭМИ 113.3.000</v>
      </c>
      <c r="D457" s="32"/>
      <c r="E457" s="32" t="s">
        <v>302</v>
      </c>
      <c r="F457" s="32"/>
      <c r="G457" s="32"/>
      <c r="H457" s="32"/>
      <c r="I457" s="84" t="n">
        <v>7</v>
      </c>
      <c r="J457" s="33"/>
      <c r="K457" s="32"/>
      <c r="L457" s="32"/>
      <c r="M457" s="32"/>
      <c r="N457" s="32"/>
      <c r="O457" s="32"/>
    </row>
    <row r="458" customFormat="false" ht="17.85" hidden="false" customHeight="true" outlineLevel="0" collapsed="false">
      <c r="B458" s="30"/>
      <c r="C458" s="31" t="str">
        <f aca="false">HYPERLINK("http://www.emi-penza.ru/p/602/", "ЭМИ 113.3.000-01")</f>
        <v>ЭМИ 113.3.000-01</v>
      </c>
      <c r="D458" s="32"/>
      <c r="E458" s="32" t="s">
        <v>302</v>
      </c>
      <c r="F458" s="32"/>
      <c r="G458" s="32"/>
      <c r="H458" s="32"/>
      <c r="I458" s="84" t="n">
        <v>7</v>
      </c>
      <c r="J458" s="33"/>
      <c r="K458" s="32"/>
      <c r="L458" s="32"/>
      <c r="M458" s="32"/>
      <c r="N458" s="32"/>
      <c r="O458" s="32"/>
    </row>
    <row r="459" customFormat="false" ht="17.85" hidden="false" customHeight="true" outlineLevel="0" collapsed="false">
      <c r="B459" s="30"/>
      <c r="C459" s="31" t="str">
        <f aca="false">HYPERLINK("http://www.emi-penza.ru/p/603/", "ЭМИ 113.3.000-02")</f>
        <v>ЭМИ 113.3.000-02</v>
      </c>
      <c r="D459" s="32"/>
      <c r="E459" s="32" t="s">
        <v>303</v>
      </c>
      <c r="F459" s="32"/>
      <c r="G459" s="32"/>
      <c r="H459" s="32"/>
      <c r="I459" s="84" t="n">
        <v>7</v>
      </c>
      <c r="J459" s="33"/>
      <c r="K459" s="32"/>
      <c r="L459" s="32"/>
      <c r="M459" s="32"/>
      <c r="N459" s="32"/>
      <c r="O459" s="32"/>
    </row>
    <row r="460" customFormat="false" ht="17.85" hidden="false" customHeight="true" outlineLevel="0" collapsed="false">
      <c r="B460" s="30"/>
      <c r="C460" s="54" t="str">
        <f aca="false">HYPERLINK("http://www.emi-penza.ru/p/604/", "ЭМИ 113.3.000-03")</f>
        <v>ЭМИ 113.3.000-03</v>
      </c>
      <c r="D460" s="44"/>
      <c r="E460" s="44" t="s">
        <v>303</v>
      </c>
      <c r="F460" s="44"/>
      <c r="G460" s="44"/>
      <c r="H460" s="44"/>
      <c r="I460" s="86" t="n">
        <v>7</v>
      </c>
      <c r="J460" s="45"/>
      <c r="K460" s="44"/>
      <c r="L460" s="44"/>
      <c r="M460" s="44"/>
      <c r="N460" s="44"/>
      <c r="O460" s="44"/>
    </row>
    <row r="461" customFormat="false" ht="5.1" hidden="false" customHeight="true" outlineLevel="0" collapsed="false">
      <c r="B461" s="3"/>
      <c r="I461" s="87"/>
    </row>
    <row r="462" customFormat="false" ht="17.85" hidden="false" customHeight="true" outlineLevel="0" collapsed="false">
      <c r="B462" s="30"/>
      <c r="C462" s="31" t="str">
        <f aca="false">HYPERLINK("http://www.emi-penza.ru/p/605/", "ЭМИ 57.3.000-02")</f>
        <v>ЭМИ 57.3.000-02</v>
      </c>
      <c r="D462" s="32"/>
      <c r="E462" s="32"/>
      <c r="F462" s="32"/>
      <c r="G462" s="32"/>
      <c r="H462" s="32"/>
      <c r="I462" s="84" t="n">
        <v>13</v>
      </c>
      <c r="J462" s="33"/>
      <c r="K462" s="32"/>
      <c r="L462" s="32"/>
      <c r="M462" s="32"/>
      <c r="N462" s="32"/>
      <c r="O462" s="32"/>
    </row>
    <row r="463" customFormat="false" ht="17.85" hidden="false" customHeight="true" outlineLevel="0" collapsed="false">
      <c r="B463" s="30"/>
      <c r="C463" s="31" t="str">
        <f aca="false">HYPERLINK("http://www.emi-penza.ru/p/606/", "ЭМИ 57.3.000-03")</f>
        <v>ЭМИ 57.3.000-03</v>
      </c>
      <c r="D463" s="32"/>
      <c r="E463" s="32"/>
      <c r="F463" s="32"/>
      <c r="G463" s="32"/>
      <c r="H463" s="32"/>
      <c r="I463" s="84" t="n">
        <v>14</v>
      </c>
      <c r="J463" s="33"/>
      <c r="K463" s="32"/>
      <c r="L463" s="32"/>
      <c r="M463" s="32"/>
      <c r="N463" s="32"/>
      <c r="O463" s="32"/>
    </row>
    <row r="464" customFormat="false" ht="17.85" hidden="false" customHeight="true" outlineLevel="0" collapsed="false">
      <c r="B464" s="30"/>
      <c r="C464" s="31" t="str">
        <f aca="false">HYPERLINK("http://www.emi-penza.ru/p/607/", "ЭМИ 57.3.000-07")</f>
        <v>ЭМИ 57.3.000-07</v>
      </c>
      <c r="D464" s="32"/>
      <c r="E464" s="32"/>
      <c r="F464" s="32"/>
      <c r="G464" s="32"/>
      <c r="H464" s="32"/>
      <c r="I464" s="84" t="n">
        <v>14</v>
      </c>
      <c r="J464" s="33"/>
      <c r="K464" s="32"/>
      <c r="L464" s="32"/>
      <c r="M464" s="32"/>
      <c r="N464" s="32"/>
      <c r="O464" s="32"/>
    </row>
    <row r="465" customFormat="false" ht="17.85" hidden="false" customHeight="true" outlineLevel="0" collapsed="false">
      <c r="B465" s="30"/>
      <c r="C465" s="54" t="str">
        <f aca="false">HYPERLINK("http://www.emi-penza.ru/p/608/", "ЭМИ 57.3.000-09")</f>
        <v>ЭМИ 57.3.000-09</v>
      </c>
      <c r="D465" s="44"/>
      <c r="E465" s="44"/>
      <c r="F465" s="44"/>
      <c r="G465" s="44"/>
      <c r="H465" s="44"/>
      <c r="I465" s="86" t="n">
        <v>12</v>
      </c>
      <c r="J465" s="45"/>
      <c r="K465" s="44"/>
      <c r="L465" s="44"/>
      <c r="M465" s="44"/>
      <c r="N465" s="44"/>
      <c r="O465" s="44"/>
    </row>
    <row r="466" customFormat="false" ht="5.1" hidden="false" customHeight="true" outlineLevel="0" collapsed="false">
      <c r="B466" s="3"/>
      <c r="I466" s="88"/>
    </row>
    <row r="467" customFormat="false" ht="17.85" hidden="false" customHeight="true" outlineLevel="0" collapsed="false">
      <c r="B467" s="30"/>
      <c r="C467" s="31" t="str">
        <f aca="false">HYPERLINK("https://www.emi-penza.ru/p/67_671", "серия 67 и 671 (замыкающие)")</f>
        <v>серия 67 и 671 (замыкающие)</v>
      </c>
      <c r="D467" s="32"/>
      <c r="E467" s="32"/>
      <c r="F467" s="32"/>
      <c r="G467" s="32"/>
      <c r="H467" s="32"/>
      <c r="I467" s="89"/>
      <c r="J467" s="33"/>
      <c r="K467" s="32"/>
      <c r="L467" s="32"/>
      <c r="M467" s="32"/>
      <c r="N467" s="32"/>
      <c r="O467" s="32"/>
    </row>
    <row r="468" customFormat="false" ht="17.85" hidden="false" customHeight="true" outlineLevel="0" collapsed="false">
      <c r="B468" s="30"/>
      <c r="C468" s="54" t="str">
        <f aca="false">HYPERLINK("https://www.emi-penza.ru/p/67_671_2", "серия 67 и 671 (переключающие)")</f>
        <v>серия 67 и 671 (переключающие)</v>
      </c>
      <c r="D468" s="44"/>
      <c r="E468" s="44"/>
      <c r="F468" s="44"/>
      <c r="G468" s="44"/>
      <c r="H468" s="44"/>
      <c r="I468" s="90"/>
      <c r="J468" s="45"/>
      <c r="K468" s="44"/>
      <c r="L468" s="44"/>
      <c r="M468" s="44"/>
      <c r="N468" s="44"/>
      <c r="O468" s="44"/>
    </row>
    <row r="469" customFormat="false" ht="9.95" hidden="false" customHeight="true" outlineLevel="0" collapsed="false">
      <c r="B469" s="3"/>
    </row>
    <row r="470" customFormat="false" ht="22.7" hidden="false" customHeight="true" outlineLevel="0" collapsed="false">
      <c r="B470" s="3"/>
      <c r="C470" s="28" t="s">
        <v>304</v>
      </c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</row>
    <row r="471" customFormat="false" ht="2.85" hidden="false" customHeight="true" outlineLevel="0" collapsed="false">
      <c r="B471" s="3"/>
    </row>
    <row r="472" customFormat="false" ht="14.15" hidden="false" customHeight="true" outlineLevel="0" collapsed="false">
      <c r="B472" s="34"/>
      <c r="C472" s="35" t="str">
        <f aca="false">HYPERLINK("http://www.emi-penza.ru/p/401/", "71.9.000")</f>
        <v>71.9.000</v>
      </c>
      <c r="D472" s="36"/>
      <c r="E472" s="36"/>
      <c r="F472" s="36"/>
      <c r="G472" s="36"/>
      <c r="H472" s="36"/>
      <c r="I472" s="37" t="n">
        <v>10</v>
      </c>
      <c r="J472" s="37" t="n">
        <v>250</v>
      </c>
      <c r="K472" s="36"/>
      <c r="L472" s="36"/>
      <c r="M472" s="36"/>
      <c r="N472" s="36"/>
      <c r="O472" s="36"/>
    </row>
    <row r="473" customFormat="false" ht="15" hidden="false" customHeight="true" outlineLevel="0" collapsed="false">
      <c r="B473" s="3"/>
      <c r="C473" s="38"/>
      <c r="D473" s="39"/>
      <c r="E473" s="39"/>
      <c r="F473" s="39"/>
      <c r="G473" s="39"/>
      <c r="H473" s="67" t="s">
        <v>40</v>
      </c>
      <c r="I473" s="40" t="n">
        <v>14</v>
      </c>
      <c r="J473" s="40"/>
      <c r="K473" s="39" t="n">
        <v>50</v>
      </c>
      <c r="L473" s="39"/>
      <c r="M473" s="39" t="n">
        <v>200</v>
      </c>
      <c r="N473" s="39"/>
      <c r="O473" s="39"/>
    </row>
    <row r="474" customFormat="false" ht="14.15" hidden="false" customHeight="true" outlineLevel="0" collapsed="false">
      <c r="B474" s="34"/>
      <c r="C474" s="35" t="str">
        <f aca="false">HYPERLINK("http://www.emi-penza.ru/p/402/", "71.9.000-01")</f>
        <v>71.9.000-01</v>
      </c>
      <c r="D474" s="36"/>
      <c r="E474" s="36"/>
      <c r="F474" s="36"/>
      <c r="G474" s="36"/>
      <c r="H474" s="36"/>
      <c r="I474" s="37" t="n">
        <v>18</v>
      </c>
      <c r="J474" s="37" t="n">
        <v>250</v>
      </c>
      <c r="K474" s="36"/>
      <c r="L474" s="36"/>
      <c r="M474" s="36"/>
      <c r="N474" s="36"/>
      <c r="O474" s="36"/>
    </row>
    <row r="475" customFormat="false" ht="15" hidden="false" customHeight="true" outlineLevel="0" collapsed="false">
      <c r="B475" s="3"/>
      <c r="C475" s="38"/>
      <c r="D475" s="39"/>
      <c r="E475" s="39"/>
      <c r="F475" s="39"/>
      <c r="G475" s="39"/>
      <c r="H475" s="67" t="s">
        <v>40</v>
      </c>
      <c r="I475" s="40" t="n">
        <v>22</v>
      </c>
      <c r="J475" s="40"/>
      <c r="K475" s="39" t="n">
        <v>50</v>
      </c>
      <c r="L475" s="39"/>
      <c r="M475" s="39" t="n">
        <v>200</v>
      </c>
      <c r="N475" s="39"/>
      <c r="O475" s="39"/>
    </row>
    <row r="476" customFormat="false" ht="17.85" hidden="false" customHeight="true" outlineLevel="0" collapsed="false">
      <c r="B476" s="30"/>
      <c r="C476" s="31" t="str">
        <f aca="false">HYPERLINK("http://www.emi-penza.ru/p/405/", "Г222-10")</f>
        <v>Г222-10</v>
      </c>
      <c r="D476" s="32"/>
      <c r="E476" s="32"/>
      <c r="F476" s="32"/>
      <c r="G476" s="32"/>
      <c r="H476" s="32"/>
      <c r="I476" s="33" t="n">
        <v>20</v>
      </c>
      <c r="J476" s="33"/>
      <c r="K476" s="32"/>
      <c r="L476" s="32" t="n">
        <v>200</v>
      </c>
      <c r="M476" s="32"/>
      <c r="N476" s="32"/>
      <c r="O476" s="32"/>
    </row>
    <row r="477" customFormat="false" ht="17.85" hidden="false" customHeight="true" outlineLevel="0" collapsed="false">
      <c r="B477" s="30"/>
      <c r="C477" s="31" t="str">
        <f aca="false">HYPERLINK("http://www.emi-penza.ru/p/407/", "Г222-11")</f>
        <v>Г222-11</v>
      </c>
      <c r="D477" s="32"/>
      <c r="E477" s="32"/>
      <c r="F477" s="32"/>
      <c r="G477" s="32"/>
      <c r="H477" s="32"/>
      <c r="I477" s="33" t="n">
        <v>25</v>
      </c>
      <c r="J477" s="33" t="n">
        <v>100</v>
      </c>
      <c r="K477" s="32"/>
      <c r="L477" s="32"/>
      <c r="M477" s="32"/>
      <c r="N477" s="32"/>
      <c r="O477" s="32"/>
    </row>
    <row r="478" customFormat="false" ht="17.85" hidden="false" customHeight="true" outlineLevel="0" collapsed="false">
      <c r="B478" s="30"/>
      <c r="C478" s="31" t="str">
        <f aca="false">HYPERLINK("http://www.emi-penza.ru/p/404/", "заклёпки и контакты")</f>
        <v>заклёпки и контакты</v>
      </c>
      <c r="D478" s="32"/>
      <c r="E478" s="32"/>
      <c r="F478" s="32"/>
      <c r="G478" s="32"/>
      <c r="H478" s="32"/>
      <c r="I478" s="33"/>
      <c r="J478" s="33"/>
      <c r="K478" s="32"/>
      <c r="L478" s="32"/>
      <c r="M478" s="32"/>
      <c r="N478" s="32"/>
      <c r="O478" s="32"/>
    </row>
    <row r="479" customFormat="false" ht="17.85" hidden="false" customHeight="true" outlineLevel="0" collapsed="false">
      <c r="B479" s="30"/>
      <c r="C479" s="31" t="str">
        <f aca="false">HYPERLINK("http://www.emi-penza.ru/p/410/", "кольца")</f>
        <v>кольца</v>
      </c>
      <c r="D479" s="32"/>
      <c r="E479" s="32"/>
      <c r="F479" s="32"/>
      <c r="G479" s="32"/>
      <c r="H479" s="32"/>
      <c r="I479" s="33"/>
      <c r="J479" s="33"/>
      <c r="K479" s="32"/>
      <c r="L479" s="32"/>
      <c r="M479" s="32"/>
      <c r="N479" s="32"/>
      <c r="O479" s="32"/>
    </row>
    <row r="480" customFormat="false" ht="17.85" hidden="false" customHeight="true" outlineLevel="0" collapsed="false">
      <c r="B480" s="30"/>
      <c r="C480" s="31" t="str">
        <f aca="false">HYPERLINK("http://www.emi-penza.ru/p/408/", "пластмассовые корпуса")</f>
        <v>пластмассовые корпуса</v>
      </c>
      <c r="D480" s="32"/>
      <c r="E480" s="32"/>
      <c r="F480" s="32"/>
      <c r="G480" s="32"/>
      <c r="H480" s="32"/>
      <c r="I480" s="33"/>
      <c r="J480" s="33"/>
      <c r="K480" s="32"/>
      <c r="L480" s="32"/>
      <c r="M480" s="32"/>
      <c r="N480" s="32"/>
      <c r="O480" s="32"/>
    </row>
    <row r="481" customFormat="false" ht="17.85" hidden="false" customHeight="true" outlineLevel="0" collapsed="false">
      <c r="B481" s="30"/>
      <c r="C481" s="54" t="str">
        <f aca="false">HYPERLINK("http://www.emi-penza.ru/p/411/", "поплавки")</f>
        <v>поплавки</v>
      </c>
      <c r="D481" s="44"/>
      <c r="E481" s="44"/>
      <c r="F481" s="44"/>
      <c r="G481" s="44"/>
      <c r="H481" s="44"/>
      <c r="I481" s="45"/>
      <c r="J481" s="45"/>
      <c r="K481" s="44"/>
      <c r="L481" s="44"/>
      <c r="M481" s="44"/>
      <c r="N481" s="44"/>
      <c r="O481" s="44"/>
    </row>
    <row r="482" customFormat="false" ht="14.15" hidden="false" customHeight="true" outlineLevel="0" collapsed="false">
      <c r="B482" s="34"/>
      <c r="C482" s="35" t="str">
        <f aca="false">HYPERLINK("http://www.emi-penza.ru/p/403/", "пружины")</f>
        <v>пружины</v>
      </c>
      <c r="E482" s="36"/>
      <c r="F482" s="36"/>
      <c r="G482" s="36"/>
      <c r="H482" s="36"/>
      <c r="I482" s="37"/>
      <c r="J482" s="37"/>
      <c r="K482" s="36"/>
      <c r="L482" s="36"/>
      <c r="M482" s="36"/>
      <c r="N482" s="36"/>
      <c r="O482" s="36"/>
    </row>
    <row r="483" customFormat="false" ht="15" hidden="false" customHeight="true" outlineLevel="0" collapsed="false">
      <c r="B483" s="3"/>
      <c r="C483" s="38"/>
      <c r="D483" s="39"/>
      <c r="E483" s="39"/>
      <c r="F483" s="39"/>
      <c r="G483" s="39"/>
      <c r="H483" s="67"/>
      <c r="I483" s="40"/>
      <c r="J483" s="40"/>
      <c r="K483" s="39"/>
      <c r="L483" s="39"/>
      <c r="M483" s="39"/>
      <c r="N483" s="39"/>
      <c r="O483" s="39"/>
    </row>
    <row r="484" customFormat="false" ht="17.85" hidden="false" customHeight="true" outlineLevel="0" collapsed="false">
      <c r="B484" s="30"/>
      <c r="C484" s="54" t="str">
        <f aca="false">HYPERLINK("http://www.emi-penza.ru/p/409/", "тампонная печать")</f>
        <v>тампонная печать</v>
      </c>
      <c r="D484" s="44"/>
      <c r="E484" s="44"/>
      <c r="F484" s="44"/>
      <c r="G484" s="44"/>
      <c r="H484" s="44"/>
      <c r="I484" s="45"/>
      <c r="J484" s="45"/>
      <c r="K484" s="44"/>
      <c r="L484" s="44"/>
      <c r="M484" s="44"/>
      <c r="N484" s="44"/>
      <c r="O484" s="44"/>
    </row>
    <row r="485" customFormat="false" ht="21.6" hidden="false" customHeight="true" outlineLevel="0" collapsed="false"/>
    <row r="486" customFormat="false" ht="22.7" hidden="false" customHeight="true" outlineLevel="0" collapsed="false">
      <c r="A486" s="0"/>
      <c r="B486" s="91"/>
      <c r="C486" s="92" t="s">
        <v>305</v>
      </c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4"/>
      <c r="O486" s="94"/>
      <c r="P486" s="91"/>
      <c r="U486" s="95"/>
      <c r="W486" s="96"/>
      <c r="X486" s="97"/>
      <c r="Y486" s="98"/>
      <c r="Z486" s="99"/>
      <c r="AB486" s="1"/>
      <c r="AC486" s="1"/>
      <c r="AD486" s="1"/>
    </row>
    <row r="487" customFormat="false" ht="2.85" hidden="false" customHeight="true" outlineLevel="0" collapsed="false">
      <c r="A487" s="0"/>
      <c r="B487" s="91"/>
      <c r="C487" s="100"/>
      <c r="D487" s="91"/>
      <c r="E487" s="91"/>
      <c r="F487" s="91"/>
      <c r="G487" s="91"/>
      <c r="H487" s="91"/>
      <c r="I487" s="101"/>
      <c r="J487" s="101"/>
      <c r="K487" s="91"/>
      <c r="L487" s="91"/>
      <c r="M487" s="91"/>
      <c r="N487" s="102"/>
      <c r="O487" s="102"/>
      <c r="P487" s="91"/>
      <c r="U487" s="95"/>
      <c r="W487" s="96"/>
      <c r="X487" s="97"/>
      <c r="Y487" s="98"/>
      <c r="Z487" s="99"/>
      <c r="AB487" s="1"/>
      <c r="AC487" s="1"/>
      <c r="AD487" s="1"/>
    </row>
    <row r="488" customFormat="false" ht="62.5" hidden="false" customHeight="true" outlineLevel="0" collapsed="false">
      <c r="A488" s="0"/>
      <c r="B488" s="91"/>
      <c r="C488" s="103" t="s">
        <v>306</v>
      </c>
      <c r="D488" s="103"/>
      <c r="E488" s="103"/>
      <c r="F488" s="103"/>
      <c r="G488" s="103"/>
      <c r="H488" s="103"/>
      <c r="I488" s="103"/>
      <c r="J488" s="103"/>
      <c r="K488" s="103"/>
      <c r="L488" s="104"/>
      <c r="M488" s="104"/>
      <c r="N488" s="105"/>
      <c r="O488" s="105"/>
      <c r="P488" s="91"/>
      <c r="U488" s="95"/>
      <c r="W488" s="96"/>
      <c r="X488" s="97"/>
      <c r="Y488" s="98"/>
      <c r="Z488" s="99"/>
      <c r="AB488" s="1"/>
      <c r="AC488" s="1"/>
      <c r="AD488" s="1"/>
    </row>
    <row r="489" customFormat="false" ht="14.05" hidden="false" customHeight="true" outlineLevel="0" collapsed="false">
      <c r="A489" s="0"/>
      <c r="B489" s="91"/>
      <c r="C489" s="100" t="s">
        <v>307</v>
      </c>
      <c r="D489" s="104"/>
      <c r="E489" s="104"/>
      <c r="F489" s="104"/>
      <c r="G489" s="104"/>
      <c r="H489" s="104"/>
      <c r="I489" s="106"/>
      <c r="J489" s="106"/>
      <c r="K489" s="104"/>
      <c r="L489" s="104"/>
      <c r="M489" s="104"/>
      <c r="N489" s="105"/>
      <c r="O489" s="105"/>
      <c r="P489" s="91"/>
      <c r="U489" s="95"/>
      <c r="W489" s="96"/>
      <c r="X489" s="97"/>
      <c r="Y489" s="98"/>
      <c r="Z489" s="99"/>
      <c r="AB489" s="1"/>
      <c r="AC489" s="1"/>
      <c r="AD489" s="1"/>
    </row>
    <row r="490" customFormat="false" ht="7.4" hidden="false" customHeight="true" outlineLevel="0" collapsed="false">
      <c r="A490" s="0"/>
      <c r="B490" s="91"/>
      <c r="C490" s="100"/>
      <c r="D490" s="104"/>
      <c r="E490" s="104"/>
      <c r="F490" s="104"/>
      <c r="G490" s="104"/>
      <c r="H490" s="104"/>
      <c r="I490" s="106"/>
      <c r="J490" s="106"/>
      <c r="K490" s="104"/>
      <c r="L490" s="104"/>
      <c r="M490" s="104"/>
      <c r="N490" s="105"/>
      <c r="O490" s="107"/>
      <c r="P490" s="91"/>
      <c r="U490" s="95"/>
      <c r="W490" s="96"/>
      <c r="X490" s="97"/>
      <c r="Y490" s="98"/>
      <c r="Z490" s="99"/>
      <c r="AB490" s="1"/>
      <c r="AC490" s="1"/>
      <c r="AD490" s="1"/>
    </row>
    <row r="491" customFormat="false" ht="42.5" hidden="false" customHeight="true" outlineLevel="0" collapsed="false">
      <c r="C491" s="2" t="s">
        <v>308</v>
      </c>
      <c r="M491" s="108"/>
    </row>
    <row r="492" customFormat="false" ht="12.8" hidden="false" customHeight="false" outlineLevel="0" collapsed="false">
      <c r="C492" s="2" t="s">
        <v>309</v>
      </c>
    </row>
    <row r="493" customFormat="false" ht="15" hidden="false" customHeight="true" outlineLevel="0" collapsed="false"/>
    <row r="494" customFormat="false" ht="14.1" hidden="false" customHeight="true" outlineLevel="0" collapsed="false">
      <c r="C494" s="109" t="str">
        <f aca="false">HYPERLINK("https://www.emi-penza.ru/products", "Каталог продукции на сайте ЭМИ")</f>
        <v>Каталог продукции на сайте ЭМИ</v>
      </c>
      <c r="D494" s="109"/>
      <c r="E494" s="109"/>
      <c r="F494" s="109"/>
      <c r="G494" s="109"/>
    </row>
    <row r="496" customFormat="false" ht="13.5" hidden="false" customHeight="true" outlineLevel="0" collapsed="false"/>
  </sheetData>
  <mergeCells count="15">
    <mergeCell ref="M3:N3"/>
    <mergeCell ref="L4:L5"/>
    <mergeCell ref="M4:N5"/>
    <mergeCell ref="M6:N6"/>
    <mergeCell ref="C9:I12"/>
    <mergeCell ref="J11:O11"/>
    <mergeCell ref="J12:O12"/>
    <mergeCell ref="D102:E102"/>
    <mergeCell ref="D103:E103"/>
    <mergeCell ref="C132:O132"/>
    <mergeCell ref="C175:C176"/>
    <mergeCell ref="C177:C178"/>
    <mergeCell ref="N431:O431"/>
    <mergeCell ref="C488:K488"/>
    <mergeCell ref="C494:G494"/>
  </mergeCells>
  <printOptions headings="false" gridLines="false" gridLinesSet="true" horizontalCentered="true" verticalCentered="false"/>
  <pageMargins left="0" right="0" top="0.236111111111111" bottom="0.590277777777778" header="0.511811023622047" footer="0.39375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&amp;LВерсия от 10 марта 2025 года, правки от 9 апреля&amp;Rстраница &amp;P из &amp;N</oddFooter>
  </headerFooter>
  <rowBreaks count="9" manualBreakCount="9">
    <brk id="67" man="true" max="16383" min="0"/>
    <brk id="83" man="true" max="16383" min="0"/>
    <brk id="129" man="true" max="16383" min="0"/>
    <brk id="170" man="true" max="16383" min="0"/>
    <brk id="234" man="true" max="16383" min="0"/>
    <brk id="289" man="true" max="16383" min="0"/>
    <brk id="338" man="true" max="16383" min="0"/>
    <brk id="382" man="true" max="16383" min="0"/>
    <brk id="43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8166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https://www.emi-penza.ru/</dc:description>
  <cp:keywords>прайс-лист цены Электромехизмерение ЭМИ датчики выключатели регуляторы напряжения реле</cp:keywords>
  <dc:language>en-GB</dc:language>
  <cp:lastModifiedBy/>
  <cp:lastPrinted>2017-01-30T20:36:55Z</cp:lastPrinted>
  <dcterms:modified xsi:type="dcterms:W3CDTF">2025-04-09T01:29:23Z</dcterms:modified>
  <cp:revision>898</cp:revision>
  <dc:subject/>
  <dc:title>Транспортная упаковка продукции – Пензенский завод ЭМИ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ProgId">
    <vt:lpwstr>Excel.Sheet</vt:lpwstr>
  </property>
  <property fmtid="{D5CDD505-2E9C-101B-9397-08002B2CF9AE}" pid="4" name="Title">
    <vt:lpwstr>Транспортная упаковка продукции – Пензенский завод ЭМИ</vt:lpwstr>
  </property>
</Properties>
</file>